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4,10 Informes de Análisis Económico Periódico\Informes Zonas Francas\2022\"/>
    </mc:Choice>
  </mc:AlternateContent>
  <bookViews>
    <workbookView xWindow="-108" yWindow="-108" windowWidth="23256" windowHeight="12576" tabRatio="719" firstSheet="5" activeTab="6"/>
  </bookViews>
  <sheets>
    <sheet name="CUADRO" sheetId="1" r:id="rId1"/>
    <sheet name="MES" sheetId="2" r:id="rId2"/>
    <sheet name="AÑO CORRIDO" sheetId="6" r:id="rId3"/>
    <sheet name="DESTINOS" sheetId="7" r:id="rId4"/>
    <sheet name="ORIGENES" sheetId="8" r:id="rId5"/>
    <sheet name="SISTEMA AMPLIADO X" sheetId="9" r:id="rId6"/>
    <sheet name="SISTEMA AMPLIADO M" sheetId="15" r:id="rId7"/>
    <sheet name="PB DE PRODUCTOS EXPO MES" sheetId="18" state="hidden" r:id="rId8"/>
    <sheet name="PB DE PRODUCTOS EXPO PERIODO" sheetId="19" state="hidden" r:id="rId9"/>
    <sheet name="PB DE PRODUCTOSM IMPO MES" sheetId="20" state="hidden" r:id="rId10"/>
    <sheet name="PB DE PRODUCTOSM IMPO PERIODO" sheetId="21" state="hidden" r:id="rId11"/>
    <sheet name="BALANZA COMERCIAL HISTORICA" sheetId="16" r:id="rId12"/>
    <sheet name="MOVIMIENTOS RESPECTO AL PIB" sheetId="17" r:id="rId13"/>
  </sheets>
  <definedNames>
    <definedName name="_xlnm._FilterDatabase" localSheetId="7" hidden="1">'PB DE PRODUCTOS EXPO MES'!$A$3:$F$3</definedName>
    <definedName name="_xlnm._FilterDatabase" localSheetId="8" hidden="1">'PB DE PRODUCTOS EXPO PERIODO'!$A$3:$F$3</definedName>
    <definedName name="_xlnm._FilterDatabase" localSheetId="9" hidden="1">'PB DE PRODUCTOSM IMPO MES'!$A$3:$F$3</definedName>
    <definedName name="_xlnm._FilterDatabase" localSheetId="10" hidden="1">'PB DE PRODUCTOSM IMPO PERIODO'!$A$3:$F$3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6" l="1"/>
  <c r="O51" i="16"/>
  <c r="G30" i="9" l="1"/>
  <c r="G31" i="9"/>
  <c r="H48" i="2"/>
  <c r="H50" i="2" s="1"/>
  <c r="N50" i="16"/>
  <c r="O50" i="16"/>
  <c r="C41" i="9"/>
  <c r="C40" i="9"/>
  <c r="F41" i="9" s="1"/>
  <c r="E41" i="9"/>
  <c r="H49" i="2" l="1"/>
  <c r="J13" i="6"/>
  <c r="J13" i="2"/>
  <c r="F5" i="17" l="1"/>
  <c r="B7" i="17"/>
  <c r="C7" i="17"/>
  <c r="N48" i="16"/>
  <c r="O48" i="16"/>
  <c r="N49" i="16"/>
  <c r="O49" i="16"/>
  <c r="N47" i="16"/>
  <c r="O47" i="16"/>
  <c r="N45" i="16" l="1"/>
  <c r="O45" i="16"/>
  <c r="N46" i="16"/>
  <c r="O46" i="16"/>
  <c r="E13" i="2"/>
  <c r="C44" i="6"/>
  <c r="E8" i="6" s="1"/>
  <c r="C45" i="6" l="1"/>
  <c r="E9" i="6"/>
  <c r="N44" i="16"/>
  <c r="O44" i="16"/>
  <c r="E13" i="6"/>
  <c r="E12" i="17" l="1"/>
  <c r="E13" i="17"/>
  <c r="E5" i="17"/>
  <c r="N43" i="16" l="1"/>
  <c r="O43" i="16"/>
  <c r="N42" i="16" l="1"/>
  <c r="O42" i="16"/>
  <c r="E30" i="16"/>
  <c r="E29" i="16"/>
  <c r="E28" i="16"/>
  <c r="E27" i="16"/>
  <c r="E26" i="16"/>
  <c r="B5" i="19"/>
  <c r="N41" i="16" l="1"/>
  <c r="O41" i="16"/>
  <c r="N40" i="16" l="1"/>
  <c r="O40" i="16"/>
  <c r="B5" i="21"/>
  <c r="B6" i="21"/>
  <c r="B7" i="21"/>
  <c r="B4" i="21"/>
  <c r="B7" i="20"/>
  <c r="B4" i="20"/>
  <c r="B5" i="20"/>
  <c r="B6" i="20"/>
  <c r="B6" i="18"/>
  <c r="E12" i="6"/>
  <c r="C46" i="6" l="1"/>
  <c r="N39" i="16"/>
  <c r="O39" i="16"/>
  <c r="B6" i="19"/>
  <c r="B8" i="19"/>
  <c r="B4" i="19"/>
  <c r="B7" i="19"/>
  <c r="B4" i="18"/>
  <c r="B5" i="18"/>
  <c r="B7" i="18"/>
  <c r="F7" i="1"/>
  <c r="E7" i="1"/>
  <c r="E5" i="1"/>
  <c r="D10" i="21" l="1"/>
  <c r="F10" i="21" s="1"/>
  <c r="C10" i="21"/>
  <c r="E7" i="21" s="1"/>
  <c r="F9" i="20"/>
  <c r="F6" i="20" s="1"/>
  <c r="E9" i="20"/>
  <c r="D9" i="19"/>
  <c r="C9" i="19"/>
  <c r="D9" i="18"/>
  <c r="C9" i="18"/>
  <c r="E6" i="18" s="1"/>
  <c r="G7" i="9"/>
  <c r="G9" i="9"/>
  <c r="G11" i="9"/>
  <c r="G13" i="9"/>
  <c r="G15" i="9"/>
  <c r="G17" i="9"/>
  <c r="G19" i="9"/>
  <c r="N37" i="16"/>
  <c r="O37" i="16"/>
  <c r="N38" i="16"/>
  <c r="O38" i="16"/>
  <c r="C40" i="15"/>
  <c r="F6" i="19" l="1"/>
  <c r="F5" i="19"/>
  <c r="E6" i="19"/>
  <c r="E5" i="19"/>
  <c r="E4" i="21"/>
  <c r="E4" i="19"/>
  <c r="F4" i="21"/>
  <c r="E10" i="21"/>
  <c r="G10" i="21" s="1"/>
  <c r="F6" i="21"/>
  <c r="F7" i="21"/>
  <c r="G7" i="21" s="1"/>
  <c r="F5" i="20"/>
  <c r="F7" i="20"/>
  <c r="F8" i="19"/>
  <c r="E8" i="19"/>
  <c r="F4" i="19"/>
  <c r="E5" i="20"/>
  <c r="E4" i="20"/>
  <c r="F4" i="20"/>
  <c r="E6" i="20"/>
  <c r="E7" i="20"/>
  <c r="F7" i="18"/>
  <c r="E6" i="21"/>
  <c r="E5" i="21"/>
  <c r="F5" i="21"/>
  <c r="F7" i="19"/>
  <c r="E7" i="19"/>
  <c r="F5" i="18"/>
  <c r="E7" i="18"/>
  <c r="F6" i="18"/>
  <c r="E4" i="18"/>
  <c r="E9" i="18"/>
  <c r="F4" i="18"/>
  <c r="E5" i="18"/>
  <c r="F9" i="18"/>
  <c r="G5" i="19" l="1"/>
  <c r="G8" i="19"/>
  <c r="G4" i="20"/>
  <c r="G4" i="18"/>
  <c r="G7" i="19"/>
  <c r="G4" i="19"/>
  <c r="G4" i="21"/>
  <c r="G6" i="20"/>
  <c r="G7" i="20"/>
  <c r="G5" i="21"/>
  <c r="G5" i="20"/>
  <c r="G6" i="21"/>
  <c r="G6" i="19"/>
  <c r="G7" i="18"/>
  <c r="G6" i="18"/>
  <c r="G5" i="18"/>
  <c r="N36" i="16"/>
  <c r="O36" i="16"/>
  <c r="N35" i="16" l="1"/>
  <c r="O35" i="16"/>
  <c r="C41" i="15"/>
  <c r="C7" i="2"/>
  <c r="D41" i="15" l="1"/>
  <c r="D24" i="15" s="1"/>
  <c r="E41" i="15"/>
  <c r="D41" i="9"/>
  <c r="E40" i="9"/>
  <c r="G41" i="9" s="1"/>
  <c r="G40" i="9" l="1"/>
  <c r="G41" i="15"/>
  <c r="N34" i="16" l="1"/>
  <c r="O34" i="16"/>
  <c r="D40" i="9"/>
  <c r="J12" i="2"/>
  <c r="N33" i="16" l="1"/>
  <c r="O33" i="16"/>
  <c r="H41" i="15" l="1"/>
  <c r="N8" i="16"/>
  <c r="N31" i="16"/>
  <c r="O31" i="16"/>
  <c r="N32" i="16"/>
  <c r="O32" i="16"/>
  <c r="K32" i="16"/>
  <c r="E24" i="15"/>
  <c r="F8" i="17"/>
  <c r="E8" i="17"/>
  <c r="E6" i="17"/>
  <c r="I15" i="17"/>
  <c r="C45" i="2" l="1"/>
  <c r="E12" i="2" s="1"/>
  <c r="C23" i="7" l="1"/>
  <c r="K31" i="16"/>
  <c r="K30" i="16"/>
  <c r="E9" i="7" l="1"/>
  <c r="E17" i="7"/>
  <c r="E10" i="7"/>
  <c r="E13" i="7"/>
  <c r="E14" i="7"/>
  <c r="E18" i="7"/>
  <c r="E3" i="7"/>
  <c r="E11" i="7"/>
  <c r="E19" i="7"/>
  <c r="E20" i="7"/>
  <c r="E5" i="7"/>
  <c r="E21" i="7"/>
  <c r="E4" i="7"/>
  <c r="E12" i="7"/>
  <c r="E6" i="7"/>
  <c r="E7" i="7"/>
  <c r="E15" i="7"/>
  <c r="E22" i="7"/>
  <c r="E8" i="7"/>
  <c r="E16" i="7"/>
  <c r="P31" i="16"/>
  <c r="N3" i="16"/>
  <c r="N4" i="16"/>
  <c r="N5" i="16"/>
  <c r="N6" i="16"/>
  <c r="N7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2" i="16"/>
  <c r="O30" i="16"/>
  <c r="O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2" i="16"/>
  <c r="E8" i="2"/>
  <c r="F6" i="17" l="1"/>
  <c r="H41" i="9"/>
  <c r="F40" i="15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2" i="16"/>
  <c r="K3" i="16"/>
  <c r="K4" i="16"/>
  <c r="K5" i="16"/>
  <c r="M5" i="16" s="1"/>
  <c r="K6" i="16"/>
  <c r="K7" i="16"/>
  <c r="M7" i="16" s="1"/>
  <c r="K8" i="16"/>
  <c r="M8" i="16" s="1"/>
  <c r="K9" i="16"/>
  <c r="K10" i="16"/>
  <c r="K11" i="16"/>
  <c r="M11" i="16" s="1"/>
  <c r="K12" i="16"/>
  <c r="K13" i="16"/>
  <c r="M13" i="16" s="1"/>
  <c r="K14" i="16"/>
  <c r="K15" i="16"/>
  <c r="M15" i="16" s="1"/>
  <c r="K16" i="16"/>
  <c r="M16" i="16" s="1"/>
  <c r="K17" i="16"/>
  <c r="K18" i="16"/>
  <c r="K19" i="16"/>
  <c r="M19" i="16" s="1"/>
  <c r="K20" i="16"/>
  <c r="M20" i="16" s="1"/>
  <c r="K21" i="16"/>
  <c r="M21" i="16" s="1"/>
  <c r="K22" i="16"/>
  <c r="K23" i="16"/>
  <c r="M23" i="16" s="1"/>
  <c r="K24" i="16"/>
  <c r="M24" i="16" s="1"/>
  <c r="K25" i="16"/>
  <c r="K26" i="16"/>
  <c r="K27" i="16"/>
  <c r="K28" i="16"/>
  <c r="K29" i="16"/>
  <c r="K2" i="16"/>
  <c r="M2" i="16" s="1"/>
  <c r="M12" i="16" l="1"/>
  <c r="M4" i="16"/>
  <c r="M3" i="16"/>
  <c r="M25" i="16"/>
  <c r="M17" i="16"/>
  <c r="M9" i="16"/>
  <c r="M28" i="16"/>
  <c r="F9" i="17"/>
  <c r="F7" i="17"/>
  <c r="E9" i="17"/>
  <c r="E7" i="17"/>
  <c r="M27" i="16"/>
  <c r="M29" i="16"/>
  <c r="P30" i="16"/>
  <c r="M6" i="16"/>
  <c r="M26" i="16"/>
  <c r="M18" i="16"/>
  <c r="M22" i="16"/>
  <c r="M14" i="16"/>
  <c r="M10" i="16"/>
  <c r="M30" i="16"/>
  <c r="C24" i="9"/>
  <c r="H23" i="7" l="1"/>
  <c r="E9" i="2"/>
  <c r="E40" i="15" l="1"/>
  <c r="F41" i="15" s="1"/>
  <c r="D40" i="15"/>
  <c r="D22" i="15" s="1"/>
  <c r="C22" i="15"/>
  <c r="G38" i="15"/>
  <c r="G37" i="15"/>
  <c r="G36" i="15"/>
  <c r="G35" i="15"/>
  <c r="G34" i="15"/>
  <c r="G33" i="15"/>
  <c r="G32" i="15"/>
  <c r="G31" i="15"/>
  <c r="E20" i="15"/>
  <c r="D20" i="15"/>
  <c r="C20" i="15"/>
  <c r="E18" i="15"/>
  <c r="D18" i="15"/>
  <c r="C18" i="15"/>
  <c r="E16" i="15"/>
  <c r="D16" i="15"/>
  <c r="C16" i="15"/>
  <c r="E14" i="15"/>
  <c r="D14" i="15"/>
  <c r="C14" i="15"/>
  <c r="E12" i="15"/>
  <c r="D12" i="15"/>
  <c r="C12" i="15"/>
  <c r="E10" i="15"/>
  <c r="D10" i="15"/>
  <c r="C10" i="15"/>
  <c r="E8" i="15"/>
  <c r="D8" i="15"/>
  <c r="C8" i="15"/>
  <c r="E6" i="15"/>
  <c r="I21" i="15" s="1"/>
  <c r="D6" i="15"/>
  <c r="C6" i="15"/>
  <c r="E5" i="15"/>
  <c r="D5" i="15"/>
  <c r="C5" i="15"/>
  <c r="E4" i="15"/>
  <c r="D4" i="15"/>
  <c r="C4" i="15"/>
  <c r="E3" i="15"/>
  <c r="D3" i="15"/>
  <c r="C3" i="15"/>
  <c r="G32" i="9"/>
  <c r="G33" i="9"/>
  <c r="G34" i="9"/>
  <c r="G35" i="9"/>
  <c r="G36" i="9"/>
  <c r="G37" i="9"/>
  <c r="G38" i="9"/>
  <c r="G39" i="9" l="1"/>
  <c r="H39" i="9" s="1"/>
  <c r="G39" i="15"/>
  <c r="H39" i="15" s="1"/>
  <c r="H21" i="15"/>
  <c r="E22" i="15"/>
  <c r="G24" i="15" s="1"/>
  <c r="C24" i="15"/>
  <c r="F24" i="15" s="1"/>
  <c r="D24" i="9"/>
  <c r="E24" i="9"/>
  <c r="D22" i="9"/>
  <c r="E22" i="9"/>
  <c r="C22" i="9"/>
  <c r="F24" i="9" s="1"/>
  <c r="C4" i="9"/>
  <c r="D4" i="9"/>
  <c r="E4" i="9"/>
  <c r="C5" i="9"/>
  <c r="D5" i="9"/>
  <c r="E5" i="9"/>
  <c r="C6" i="9"/>
  <c r="D6" i="9"/>
  <c r="E6" i="9"/>
  <c r="C8" i="9"/>
  <c r="D8" i="9"/>
  <c r="E8" i="9"/>
  <c r="C10" i="9"/>
  <c r="D10" i="9"/>
  <c r="E10" i="9"/>
  <c r="C12" i="9"/>
  <c r="D12" i="9"/>
  <c r="E12" i="9"/>
  <c r="C14" i="9"/>
  <c r="D14" i="9"/>
  <c r="E14" i="9"/>
  <c r="C16" i="9"/>
  <c r="D16" i="9"/>
  <c r="E16" i="9"/>
  <c r="C18" i="9"/>
  <c r="D18" i="9"/>
  <c r="E18" i="9"/>
  <c r="C20" i="9"/>
  <c r="D20" i="9"/>
  <c r="E20" i="9"/>
  <c r="D3" i="9"/>
  <c r="E3" i="9"/>
  <c r="C3" i="9"/>
  <c r="G21" i="9" l="1"/>
  <c r="G12" i="9"/>
  <c r="H21" i="9"/>
  <c r="G14" i="9"/>
  <c r="G6" i="9"/>
  <c r="G20" i="9"/>
  <c r="I21" i="9"/>
  <c r="G16" i="9"/>
  <c r="G8" i="9"/>
  <c r="G18" i="9"/>
  <c r="G10" i="9"/>
  <c r="G21" i="15"/>
  <c r="G24" i="9"/>
  <c r="H7" i="2" l="1"/>
  <c r="C5" i="6"/>
  <c r="H47" i="6"/>
  <c r="J12" i="6" s="1"/>
  <c r="H5" i="6" l="1"/>
  <c r="C7" i="6"/>
  <c r="H7" i="6" s="1"/>
  <c r="H49" i="6"/>
  <c r="J9" i="6"/>
  <c r="J8" i="6"/>
  <c r="J3" i="7"/>
  <c r="H23" i="8"/>
  <c r="J20" i="8" s="1"/>
  <c r="H48" i="6"/>
  <c r="J4" i="7" l="1"/>
  <c r="J7" i="7"/>
  <c r="J8" i="7"/>
  <c r="J4" i="8"/>
  <c r="J16" i="7"/>
  <c r="J15" i="7"/>
  <c r="J12" i="7"/>
  <c r="J11" i="7"/>
  <c r="J21" i="7"/>
  <c r="J19" i="7"/>
  <c r="J20" i="7"/>
  <c r="J17" i="7"/>
  <c r="J9" i="7"/>
  <c r="J22" i="7"/>
  <c r="J13" i="7"/>
  <c r="J14" i="7"/>
  <c r="J6" i="7"/>
  <c r="J5" i="7"/>
  <c r="J18" i="7"/>
  <c r="J10" i="7"/>
  <c r="J15" i="8"/>
  <c r="J17" i="8"/>
  <c r="J8" i="8"/>
  <c r="J3" i="8"/>
  <c r="J5" i="8"/>
  <c r="J18" i="8"/>
  <c r="J19" i="8"/>
  <c r="J21" i="8"/>
  <c r="J16" i="8"/>
  <c r="J22" i="8"/>
  <c r="J11" i="8"/>
  <c r="J14" i="8"/>
  <c r="J13" i="8"/>
  <c r="J12" i="8"/>
  <c r="J10" i="8"/>
  <c r="J7" i="8"/>
  <c r="J6" i="8"/>
  <c r="J9" i="8"/>
  <c r="K22" i="7" l="1"/>
  <c r="K22" i="8"/>
  <c r="C5" i="2"/>
  <c r="H5" i="2" s="1"/>
  <c r="J9" i="2" l="1"/>
  <c r="C23" i="8"/>
  <c r="E21" i="8" s="1"/>
  <c r="J8" i="2"/>
  <c r="C47" i="2"/>
  <c r="C46" i="2"/>
  <c r="F22" i="7" l="1"/>
  <c r="E11" i="8"/>
  <c r="E3" i="8"/>
  <c r="E10" i="8"/>
  <c r="E18" i="8"/>
  <c r="E6" i="8"/>
  <c r="E9" i="8"/>
  <c r="E20" i="8"/>
  <c r="E16" i="8"/>
  <c r="E12" i="8"/>
  <c r="E8" i="8"/>
  <c r="E4" i="8"/>
  <c r="E19" i="8"/>
  <c r="E17" i="8"/>
  <c r="E15" i="8"/>
  <c r="E5" i="8"/>
  <c r="E22" i="8"/>
  <c r="E14" i="8"/>
  <c r="E7" i="8"/>
  <c r="E13" i="8"/>
  <c r="F22" i="8" l="1"/>
</calcChain>
</file>

<file path=xl/sharedStrings.xml><?xml version="1.0" encoding="utf-8"?>
<sst xmlns="http://schemas.openxmlformats.org/spreadsheetml/2006/main" count="422" uniqueCount="153">
  <si>
    <t>Zonas Francas</t>
  </si>
  <si>
    <t>Miles de dólares FOB</t>
  </si>
  <si>
    <t>Variación (%)</t>
  </si>
  <si>
    <t>Miles de dólares</t>
  </si>
  <si>
    <t>Comercio exterior</t>
  </si>
  <si>
    <t>Movimiento de mercancias</t>
  </si>
  <si>
    <t>ZFP Rionegro</t>
  </si>
  <si>
    <t>ZFP Palmaseca</t>
  </si>
  <si>
    <t>ZFP Intexzona</t>
  </si>
  <si>
    <t>ZFP Tayrona</t>
  </si>
  <si>
    <t>ZFP Parque Central</t>
  </si>
  <si>
    <t>ZFP Bogotá</t>
  </si>
  <si>
    <t>ZFP Candelaria</t>
  </si>
  <si>
    <t>ZFP Internacional de Pereira</t>
  </si>
  <si>
    <t>**</t>
  </si>
  <si>
    <t>ZFP Conjunto Industrial Parque Sur</t>
  </si>
  <si>
    <t>ZFP las Américas</t>
  </si>
  <si>
    <t>ZFP Metropolitana</t>
  </si>
  <si>
    <t>ZFP Cúcuta</t>
  </si>
  <si>
    <t>*</t>
  </si>
  <si>
    <t>ZFP de Occidente</t>
  </si>
  <si>
    <t>ZFP Cartagena</t>
  </si>
  <si>
    <t>ZFP Internacional Valle De Aburrá Zofiva SAS</t>
  </si>
  <si>
    <t>ZFP Internacional del Atlántico</t>
  </si>
  <si>
    <t>ZFP la Cayena</t>
  </si>
  <si>
    <t>ZFP Barranquilla</t>
  </si>
  <si>
    <t>ZFP Santander</t>
  </si>
  <si>
    <t>Demás Zonas Francas Permanentes</t>
  </si>
  <si>
    <t>mes</t>
  </si>
  <si>
    <t>Variacion</t>
  </si>
  <si>
    <t>ZF</t>
  </si>
  <si>
    <t xml:space="preserve">  Exportaciones (FOB)</t>
  </si>
  <si>
    <t xml:space="preserve">  Importaciones (CIF)</t>
  </si>
  <si>
    <t xml:space="preserve">  Ingresos (CIF)</t>
  </si>
  <si>
    <t xml:space="preserve">  Salida (FOB)</t>
  </si>
  <si>
    <t>Miles de dólares CIF</t>
  </si>
  <si>
    <t>ZFP Zonamerica S.A.S.</t>
  </si>
  <si>
    <t>ZFP Santa Marta</t>
  </si>
  <si>
    <t>ZFP Parque Industrial Dexton</t>
  </si>
  <si>
    <t>EXPORTACIONES - MES</t>
  </si>
  <si>
    <t>IMPORTACIONES - MES</t>
  </si>
  <si>
    <t>Perú</t>
  </si>
  <si>
    <t>Ecuador</t>
  </si>
  <si>
    <t>Chile</t>
  </si>
  <si>
    <t>Brasil</t>
  </si>
  <si>
    <t>México</t>
  </si>
  <si>
    <t>Panamá</t>
  </si>
  <si>
    <t>Venezuela</t>
  </si>
  <si>
    <t>Estados Unidos</t>
  </si>
  <si>
    <t>Puerto Rico</t>
  </si>
  <si>
    <t>Alemania</t>
  </si>
  <si>
    <t>España</t>
  </si>
  <si>
    <t>Francia</t>
  </si>
  <si>
    <t>Italia</t>
  </si>
  <si>
    <t>Países Bajos</t>
  </si>
  <si>
    <t>China</t>
  </si>
  <si>
    <t>India</t>
  </si>
  <si>
    <t>Total general</t>
  </si>
  <si>
    <t>Valor</t>
  </si>
  <si>
    <t>Var. (%)</t>
  </si>
  <si>
    <t>Part. (%)</t>
  </si>
  <si>
    <t>Mes</t>
  </si>
  <si>
    <t>Destino</t>
  </si>
  <si>
    <t>Editar fechas</t>
  </si>
  <si>
    <t>&lt;---</t>
  </si>
  <si>
    <t>Remplazar valores</t>
  </si>
  <si>
    <t>ZFP Palermo</t>
  </si>
  <si>
    <t>ZFP Centro Logístico del Pacífico CELPA</t>
  </si>
  <si>
    <t>Suecia</t>
  </si>
  <si>
    <t>EXPORTACIONES - AÑO CORRIDO</t>
  </si>
  <si>
    <t>IMPORTACIONES</t>
  </si>
  <si>
    <t>ZFP SurColombiana</t>
  </si>
  <si>
    <t>Acumulado</t>
  </si>
  <si>
    <t xml:space="preserve">Miles de dólares FOB </t>
  </si>
  <si>
    <t>Año</t>
  </si>
  <si>
    <t xml:space="preserve">Exportaciones publicadas </t>
  </si>
  <si>
    <t xml:space="preserve">Exportaciones desde Zonas Francas </t>
  </si>
  <si>
    <t xml:space="preserve">Exportaciones sistema comercial especial ampliado </t>
  </si>
  <si>
    <t>Variación (%)
Sistema comercial ampliado</t>
  </si>
  <si>
    <t xml:space="preserve">Importaciones publicadas </t>
  </si>
  <si>
    <t xml:space="preserve">Importaciones sistema comercial especial ampliado </t>
  </si>
  <si>
    <t xml:space="preserve">Importaciones desde Zonas Francas </t>
  </si>
  <si>
    <t>ZFP Cencauca(parque industrial caloto)</t>
  </si>
  <si>
    <t>Polonia</t>
  </si>
  <si>
    <t>Meses</t>
  </si>
  <si>
    <t xml:space="preserve">Importaciones de las Zonas Francas </t>
  </si>
  <si>
    <t>Balanza Comercial</t>
  </si>
  <si>
    <t>Balanza Comercial Colombia</t>
  </si>
  <si>
    <t>Ene-Abr</t>
  </si>
  <si>
    <t>Salidas ZF</t>
  </si>
  <si>
    <t>PIB</t>
  </si>
  <si>
    <t>Ratio Exportaciones</t>
  </si>
  <si>
    <t>Ratio Importaciones</t>
  </si>
  <si>
    <t>Ingresos ZF</t>
  </si>
  <si>
    <t>Balance</t>
  </si>
  <si>
    <t>Ene-Jul</t>
  </si>
  <si>
    <t>Zonas Francas Permanentes Especiales</t>
  </si>
  <si>
    <t>Zonas Francas Permanentes</t>
  </si>
  <si>
    <r>
      <t>Zonas Francas Permanentes Especiales</t>
    </r>
    <r>
      <rPr>
        <b/>
        <vertAlign val="superscript"/>
        <sz val="10"/>
        <color theme="8" tint="-0.249977111117893"/>
        <rFont val="Work Sans Light"/>
      </rPr>
      <t>1</t>
    </r>
  </si>
  <si>
    <t>Argentina</t>
  </si>
  <si>
    <t>Canadá</t>
  </si>
  <si>
    <t>Bolivia</t>
  </si>
  <si>
    <t>Austria</t>
  </si>
  <si>
    <t>2020</t>
  </si>
  <si>
    <t>Bolsa 04</t>
  </si>
  <si>
    <t>Aparatos electricos</t>
  </si>
  <si>
    <t>Productos de plástico y sus manufacturas; caucho y sus manufacturas </t>
  </si>
  <si>
    <t>Exportaciones</t>
  </si>
  <si>
    <t>Año corrido</t>
  </si>
  <si>
    <t>Otros productos del reino vegetal</t>
  </si>
  <si>
    <t>Otros productos de materias textiles y sus manufacturas </t>
  </si>
  <si>
    <t>Otros productos de material de transporte</t>
  </si>
  <si>
    <t>Bolsa 01</t>
  </si>
  <si>
    <t>Bolsa 07</t>
  </si>
  <si>
    <t>Importaciones</t>
  </si>
  <si>
    <t>Paricipación</t>
  </si>
  <si>
    <t>Otros productos de las industrias químicas o de las industrias conexas</t>
  </si>
  <si>
    <t>Otros productos de madera, carbón vegetal y manufacturas de madera</t>
  </si>
  <si>
    <t>Mercancías y productos diversos</t>
  </si>
  <si>
    <t>Otro productos de las industrias alimentarias</t>
  </si>
  <si>
    <t>Otros productos y manufacturas de metales comunes</t>
  </si>
  <si>
    <t>Otros productos de plástico o caucho y sus manufacturas</t>
  </si>
  <si>
    <t>Bolsa 11</t>
  </si>
  <si>
    <t>Bolsa 10</t>
  </si>
  <si>
    <t>Bolsa 12</t>
  </si>
  <si>
    <t>Bolsa 09</t>
  </si>
  <si>
    <t>Bolsa 03</t>
  </si>
  <si>
    <t>Bolsa 06</t>
  </si>
  <si>
    <t>Bolsa 02</t>
  </si>
  <si>
    <t>Bolsa 13</t>
  </si>
  <si>
    <t>Productos de manufacturas de minerales varios y vidrio</t>
  </si>
  <si>
    <t>ZFP Pacífico</t>
  </si>
  <si>
    <t>ZFP de Tocancipá</t>
  </si>
  <si>
    <t>ZFP de Urabá</t>
  </si>
  <si>
    <t>ZFP Quindío Zona Franca S.A.</t>
  </si>
  <si>
    <t>ZFP Gachancipá (ZOFRANDINA)</t>
  </si>
  <si>
    <t>Bolsa 05</t>
  </si>
  <si>
    <t>Manufacturas de pieles y cuero</t>
  </si>
  <si>
    <t>Paraguay</t>
  </si>
  <si>
    <t>Demás zonas francas permanentes</t>
  </si>
  <si>
    <t>ZFP Parque Industrial FEMSA</t>
  </si>
  <si>
    <t>República Checa</t>
  </si>
  <si>
    <t>PIB Enero diciembre</t>
  </si>
  <si>
    <t>ZFP Centro Logístico Industrial del Pacífico CLIP S.A.S.</t>
  </si>
  <si>
    <t>Rusia</t>
  </si>
  <si>
    <t>Enero-febrero</t>
  </si>
  <si>
    <t>Marzo</t>
  </si>
  <si>
    <t>Singapur</t>
  </si>
  <si>
    <t>Arabia Saudita</t>
  </si>
  <si>
    <t>República Dominicana</t>
  </si>
  <si>
    <t>Bélgica</t>
  </si>
  <si>
    <t>Tailandia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</si>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</sst>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_)"/>
    <numFmt numFmtId="167" formatCode="#,##0.0"/>
    <numFmt numFmtId="168" formatCode="_ * #,##0.00_ ;_ * \-#,##0.00_ ;_ * &quot;-&quot;??_ ;_ @_ "/>
    <numFmt numFmtId="169" formatCode="_(* #,##0_);_(* \(#,##0\);_(* &quot;-&quot;??_);_(@_)"/>
    <numFmt numFmtId="170" formatCode="_-* #,##0.0_-;\-* #,##0.0_-;_-* &quot;-&quot;_-;_-@_-"/>
    <numFmt numFmtId="171" formatCode="0.0"/>
    <numFmt numFmtId="172" formatCode="0.0%"/>
    <numFmt numFmtId="173" formatCode="_ * #,##0_ ;_ * \-#,##0_ ;_ * &quot;-&quot;??_ ;_ @_ "/>
    <numFmt numFmtId="174" formatCode="_(* #,##0.00_);_(* \(#,##0.00\);_(* &quot;-&quot;??_);_(@_)"/>
    <numFmt numFmtId="175" formatCode="_ * #,##0.0_ ;_ * \-#,##0.0_ ;_ * &quot;-&quot;??_ ;_ @_ "/>
    <numFmt numFmtId="176" formatCode="_-* #,##0.00\ _P_t_s_-;\-* #,##0.00\ _P_t_s_-;_-* &quot;-&quot;??\ _P_t_s_-;_-@_-"/>
    <numFmt numFmtId="177" formatCode="General_)"/>
    <numFmt numFmtId="178" formatCode="_-[$$-240A]\ * #,##0_-;\-[$$-240A]\ * #,##0_-;_-[$$-240A]\ * &quot;-&quot;??_-;_-@_-"/>
    <numFmt numFmtId="179" formatCode="_-* #,##0.0\ _€_-;\-* #,##0.0\ _€_-;_-* &quot;-&quot;?\ _€_-;_-@_-"/>
    <numFmt numFmtId="180" formatCode="_-* #,##0_-;\-* #,##0_-;_-* &quot;-&quot;??_-;_-@_-"/>
    <numFmt numFmtId="181" formatCode="yyyy"/>
    <numFmt numFmtId="182" formatCode="_-* #,##0.0_-;\-* #,##0.0_-;_-* &quot;-&quot;??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name val="MS Sans Serif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u/>
      <sz val="7.5"/>
      <color indexed="12"/>
      <name val="Arial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Tms Rmn"/>
    </font>
    <font>
      <sz val="10"/>
      <name val="Arial"/>
      <family val="2"/>
    </font>
    <font>
      <b/>
      <sz val="10"/>
      <color theme="8" tint="-0.249977111117893"/>
      <name val="Work Sans Light"/>
    </font>
    <font>
      <b/>
      <i/>
      <sz val="10"/>
      <color theme="8" tint="-0.249977111117893"/>
      <name val="Work Sans Light"/>
    </font>
    <font>
      <b/>
      <vertAlign val="superscript"/>
      <sz val="10"/>
      <color theme="8" tint="-0.249977111117893"/>
      <name val="Work Sans Light"/>
    </font>
    <font>
      <b/>
      <sz val="10"/>
      <color theme="0"/>
      <name val="Work Sans Light"/>
    </font>
    <font>
      <sz val="10"/>
      <color theme="8" tint="-0.249977111117893"/>
      <name val="Work Sans Light"/>
    </font>
    <font>
      <b/>
      <sz val="15"/>
      <color theme="3"/>
      <name val="Calibri"/>
      <family val="2"/>
      <scheme val="minor"/>
    </font>
    <font>
      <sz val="9"/>
      <color theme="1"/>
      <name val="Segoe UI"/>
      <family val="2"/>
    </font>
    <font>
      <sz val="9"/>
      <name val="Segoe UI"/>
      <family val="2"/>
    </font>
    <font>
      <sz val="10"/>
      <color theme="1"/>
      <name val="Work Sans Light"/>
    </font>
    <font>
      <b/>
      <i/>
      <sz val="10"/>
      <color theme="1"/>
      <name val="Work Sans Light"/>
    </font>
    <font>
      <b/>
      <sz val="10"/>
      <color theme="1"/>
      <name val="Work Sans Light"/>
    </font>
    <font>
      <sz val="10"/>
      <name val="Arial"/>
      <family val="2"/>
    </font>
    <font>
      <sz val="10"/>
      <name val="Arial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</borders>
  <cellStyleXfs count="25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8" applyNumberFormat="0" applyAlignment="0" applyProtection="0"/>
    <xf numFmtId="0" fontId="23" fillId="9" borderId="9" applyNumberFormat="0" applyAlignment="0" applyProtection="0"/>
    <xf numFmtId="0" fontId="24" fillId="9" borderId="8" applyNumberFormat="0" applyAlignment="0" applyProtection="0"/>
    <xf numFmtId="0" fontId="25" fillId="0" borderId="10" applyNumberFormat="0" applyFill="0" applyAlignment="0" applyProtection="0"/>
    <xf numFmtId="0" fontId="26" fillId="10" borderId="11" applyNumberFormat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3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2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5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2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3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1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2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1" fillId="2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30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37" borderId="0" applyNumberFormat="0" applyBorder="0" applyAlignment="0" applyProtection="0"/>
    <xf numFmtId="0" fontId="31" fillId="42" borderId="0" applyNumberFormat="0" applyBorder="0" applyAlignment="0" applyProtection="0"/>
    <xf numFmtId="0" fontId="31" fillId="38" borderId="0" applyNumberFormat="0" applyBorder="0" applyAlignment="0" applyProtection="0"/>
    <xf numFmtId="0" fontId="32" fillId="42" borderId="0" applyNumberFormat="0" applyBorder="0" applyAlignment="0" applyProtection="0"/>
    <xf numFmtId="0" fontId="41" fillId="47" borderId="14" applyNumberFormat="0" applyAlignment="0" applyProtection="0"/>
    <xf numFmtId="0" fontId="33" fillId="48" borderId="15" applyNumberFormat="0" applyAlignment="0" applyProtection="0"/>
    <xf numFmtId="0" fontId="37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31" fillId="49" borderId="0" applyNumberFormat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34" fillId="43" borderId="14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0" applyNumberFormat="0" applyBorder="0" applyAlignment="0" applyProtection="0"/>
    <xf numFmtId="168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3" fillId="43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39" borderId="17" applyNumberFormat="0" applyFont="0" applyAlignment="0" applyProtection="0"/>
    <xf numFmtId="0" fontId="2" fillId="39" borderId="17" applyNumberFormat="0" applyFont="0" applyAlignment="0" applyProtection="0"/>
    <xf numFmtId="0" fontId="1" fillId="11" borderId="12" applyNumberFormat="0" applyFont="0" applyAlignment="0" applyProtection="0"/>
    <xf numFmtId="0" fontId="1" fillId="11" borderId="12" applyNumberFormat="0" applyFont="0" applyAlignment="0" applyProtection="0"/>
    <xf numFmtId="9" fontId="2" fillId="0" borderId="0" applyFont="0" applyFill="0" applyBorder="0" applyAlignment="0" applyProtection="0"/>
    <xf numFmtId="0" fontId="36" fillId="47" borderId="1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2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37" borderId="0" applyNumberFormat="0" applyBorder="0" applyAlignment="0" applyProtection="0"/>
    <xf numFmtId="0" fontId="31" fillId="42" borderId="0" applyNumberFormat="0" applyBorder="0" applyAlignment="0" applyProtection="0"/>
    <xf numFmtId="0" fontId="31" fillId="38" borderId="0" applyNumberFormat="0" applyBorder="0" applyAlignment="0" applyProtection="0"/>
    <xf numFmtId="0" fontId="32" fillId="42" borderId="0" applyNumberFormat="0" applyBorder="0" applyAlignment="0" applyProtection="0"/>
    <xf numFmtId="0" fontId="41" fillId="47" borderId="14" applyNumberFormat="0" applyAlignment="0" applyProtection="0"/>
    <xf numFmtId="0" fontId="33" fillId="48" borderId="15" applyNumberFormat="0" applyAlignment="0" applyProtection="0"/>
    <xf numFmtId="0" fontId="37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31" fillId="49" borderId="0" applyNumberFormat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34" fillId="43" borderId="14" applyNumberFormat="0" applyAlignment="0" applyProtection="0"/>
    <xf numFmtId="0" fontId="35" fillId="40" borderId="0" applyNumberFormat="0" applyBorder="0" applyAlignment="0" applyProtection="0"/>
    <xf numFmtId="176" fontId="2" fillId="0" borderId="0" applyFont="0" applyFill="0" applyBorder="0" applyAlignment="0" applyProtection="0"/>
    <xf numFmtId="0" fontId="43" fillId="43" borderId="0" applyNumberFormat="0" applyBorder="0" applyAlignment="0" applyProtection="0"/>
    <xf numFmtId="177" fontId="49" fillId="0" borderId="0"/>
    <xf numFmtId="0" fontId="1" fillId="0" borderId="0"/>
    <xf numFmtId="0" fontId="2" fillId="0" borderId="0"/>
    <xf numFmtId="0" fontId="1" fillId="0" borderId="0"/>
    <xf numFmtId="0" fontId="2" fillId="39" borderId="17" applyNumberFormat="0" applyFont="0" applyAlignment="0" applyProtection="0"/>
    <xf numFmtId="9" fontId="2" fillId="0" borderId="0" applyFont="0" applyFill="0" applyBorder="0" applyAlignment="0" applyProtection="0"/>
    <xf numFmtId="0" fontId="36" fillId="47" borderId="1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2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50" fillId="0" borderId="0"/>
    <xf numFmtId="43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8" borderId="8" applyNumberFormat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24" fillId="9" borderId="8" applyNumberFormat="0" applyAlignment="0" applyProtection="0"/>
    <xf numFmtId="0" fontId="28" fillId="35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11" borderId="12" applyNumberFormat="0" applyFont="0" applyAlignment="0" applyProtection="0"/>
    <xf numFmtId="0" fontId="1" fillId="11" borderId="12" applyNumberFormat="0" applyFont="0" applyAlignment="0" applyProtection="0"/>
    <xf numFmtId="0" fontId="23" fillId="9" borderId="9" applyNumberFormat="0" applyAlignment="0" applyProtection="0"/>
    <xf numFmtId="0" fontId="56" fillId="0" borderId="24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7" fillId="0" borderId="13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2" fillId="0" borderId="0"/>
    <xf numFmtId="0" fontId="63" fillId="0" borderId="0"/>
  </cellStyleXfs>
  <cellXfs count="215">
    <xf numFmtId="0" fontId="0" fillId="0" borderId="0" xfId="0"/>
    <xf numFmtId="0" fontId="2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5" fillId="2" borderId="0" xfId="0" applyFont="1" applyFill="1" applyBorder="1" applyAlignment="1">
      <alignment horizontal="center"/>
    </xf>
    <xf numFmtId="3" fontId="3" fillId="3" borderId="0" xfId="1" applyNumberFormat="1" applyFont="1" applyFill="1" applyAlignment="1">
      <alignment wrapText="1"/>
    </xf>
    <xf numFmtId="164" fontId="0" fillId="0" borderId="0" xfId="2" applyFont="1"/>
    <xf numFmtId="170" fontId="0" fillId="0" borderId="0" xfId="2" applyNumberFormat="1" applyFont="1"/>
    <xf numFmtId="171" fontId="0" fillId="0" borderId="0" xfId="0" applyNumberFormat="1"/>
    <xf numFmtId="0" fontId="7" fillId="0" borderId="0" xfId="0" applyFont="1"/>
    <xf numFmtId="0" fontId="0" fillId="4" borderId="0" xfId="0" applyFill="1"/>
    <xf numFmtId="164" fontId="0" fillId="4" borderId="0" xfId="2" applyFont="1" applyFill="1"/>
    <xf numFmtId="170" fontId="0" fillId="4" borderId="0" xfId="2" applyNumberFormat="1" applyFont="1" applyFill="1"/>
    <xf numFmtId="171" fontId="0" fillId="4" borderId="0" xfId="0" applyNumberFormat="1" applyFill="1"/>
    <xf numFmtId="0" fontId="7" fillId="4" borderId="0" xfId="0" applyFont="1" applyFill="1"/>
    <xf numFmtId="0" fontId="8" fillId="0" borderId="0" xfId="0" applyFont="1"/>
    <xf numFmtId="0" fontId="7" fillId="0" borderId="0" xfId="0" applyFont="1" applyAlignment="1">
      <alignment horizontal="right"/>
    </xf>
    <xf numFmtId="3" fontId="9" fillId="3" borderId="0" xfId="0" applyNumberFormat="1" applyFont="1" applyFill="1"/>
    <xf numFmtId="3" fontId="4" fillId="3" borderId="0" xfId="0" applyNumberFormat="1" applyFont="1" applyFill="1"/>
    <xf numFmtId="3" fontId="4" fillId="2" borderId="1" xfId="0" applyNumberFormat="1" applyFont="1" applyFill="1" applyBorder="1"/>
    <xf numFmtId="0" fontId="10" fillId="4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167" fontId="10" fillId="2" borderId="0" xfId="0" applyNumberFormat="1" applyFont="1" applyFill="1" applyAlignment="1">
      <alignment horizontal="right"/>
    </xf>
    <xf numFmtId="167" fontId="12" fillId="2" borderId="0" xfId="0" applyNumberFormat="1" applyFont="1" applyFill="1" applyBorder="1" applyAlignment="1">
      <alignment horizontal="right"/>
    </xf>
    <xf numFmtId="167" fontId="9" fillId="2" borderId="0" xfId="0" applyNumberFormat="1" applyFont="1" applyFill="1" applyAlignment="1">
      <alignment horizontal="right"/>
    </xf>
    <xf numFmtId="167" fontId="9" fillId="2" borderId="0" xfId="0" applyNumberFormat="1" applyFont="1" applyFill="1" applyBorder="1" applyAlignment="1">
      <alignment horizontal="right"/>
    </xf>
    <xf numFmtId="169" fontId="4" fillId="2" borderId="1" xfId="1" applyNumberFormat="1" applyFont="1" applyFill="1" applyBorder="1"/>
    <xf numFmtId="172" fontId="11" fillId="0" borderId="0" xfId="7" applyNumberFormat="1" applyFont="1"/>
    <xf numFmtId="0" fontId="7" fillId="0" borderId="0" xfId="0" applyFont="1" applyAlignment="1">
      <alignment horizontal="center"/>
    </xf>
    <xf numFmtId="166" fontId="13" fillId="2" borderId="0" xfId="8" applyNumberFormat="1" applyFont="1" applyFill="1" applyBorder="1" applyAlignment="1" applyProtection="1"/>
    <xf numFmtId="3" fontId="14" fillId="2" borderId="0" xfId="8" applyNumberFormat="1" applyFont="1" applyFill="1" applyBorder="1"/>
    <xf numFmtId="3" fontId="14" fillId="2" borderId="0" xfId="8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173" fontId="15" fillId="2" borderId="0" xfId="1" applyNumberFormat="1" applyFont="1" applyFill="1" applyAlignment="1">
      <alignment horizontal="right"/>
    </xf>
    <xf numFmtId="167" fontId="15" fillId="2" borderId="0" xfId="0" applyNumberFormat="1" applyFont="1" applyFill="1" applyAlignment="1">
      <alignment horizontal="right"/>
    </xf>
    <xf numFmtId="173" fontId="15" fillId="3" borderId="0" xfId="1" applyNumberFormat="1" applyFont="1" applyFill="1" applyAlignment="1">
      <alignment horizontal="right"/>
    </xf>
    <xf numFmtId="167" fontId="15" fillId="3" borderId="0" xfId="0" applyNumberFormat="1" applyFont="1" applyFill="1" applyAlignment="1">
      <alignment horizontal="right"/>
    </xf>
    <xf numFmtId="173" fontId="15" fillId="2" borderId="0" xfId="1" applyNumberFormat="1" applyFont="1" applyFill="1" applyBorder="1" applyAlignment="1">
      <alignment horizontal="right"/>
    </xf>
    <xf numFmtId="167" fontId="15" fillId="2" borderId="0" xfId="0" applyNumberFormat="1" applyFont="1" applyFill="1" applyBorder="1" applyAlignment="1">
      <alignment horizontal="right"/>
    </xf>
    <xf numFmtId="173" fontId="15" fillId="3" borderId="0" xfId="1" applyNumberFormat="1" applyFont="1" applyFill="1" applyBorder="1" applyAlignment="1">
      <alignment horizontal="right"/>
    </xf>
    <xf numFmtId="167" fontId="15" fillId="3" borderId="0" xfId="0" applyNumberFormat="1" applyFont="1" applyFill="1" applyBorder="1" applyAlignment="1">
      <alignment horizontal="right"/>
    </xf>
    <xf numFmtId="173" fontId="15" fillId="2" borderId="3" xfId="1" applyNumberFormat="1" applyFont="1" applyFill="1" applyBorder="1" applyAlignment="1">
      <alignment horizontal="right"/>
    </xf>
    <xf numFmtId="167" fontId="15" fillId="2" borderId="3" xfId="0" applyNumberFormat="1" applyFont="1" applyFill="1" applyBorder="1" applyAlignment="1">
      <alignment horizontal="right"/>
    </xf>
    <xf numFmtId="171" fontId="15" fillId="2" borderId="3" xfId="0" applyNumberFormat="1" applyFont="1" applyFill="1" applyBorder="1"/>
    <xf numFmtId="1" fontId="14" fillId="2" borderId="4" xfId="0" applyNumberFormat="1" applyFont="1" applyFill="1" applyBorder="1" applyAlignment="1">
      <alignment horizontal="center" vertical="center" wrapText="1"/>
    </xf>
    <xf numFmtId="1" fontId="15" fillId="2" borderId="0" xfId="1" applyNumberFormat="1" applyFont="1" applyFill="1" applyAlignment="1">
      <alignment horizontal="center"/>
    </xf>
    <xf numFmtId="1" fontId="15" fillId="3" borderId="0" xfId="1" applyNumberFormat="1" applyFont="1" applyFill="1" applyAlignment="1">
      <alignment horizontal="center"/>
    </xf>
    <xf numFmtId="1" fontId="15" fillId="2" borderId="0" xfId="1" applyNumberFormat="1" applyFont="1" applyFill="1" applyBorder="1" applyAlignment="1">
      <alignment horizontal="center"/>
    </xf>
    <xf numFmtId="1" fontId="15" fillId="3" borderId="0" xfId="1" applyNumberFormat="1" applyFont="1" applyFill="1" applyBorder="1" applyAlignment="1">
      <alignment horizontal="center"/>
    </xf>
    <xf numFmtId="1" fontId="15" fillId="2" borderId="3" xfId="1" applyNumberFormat="1" applyFont="1" applyFill="1" applyBorder="1" applyAlignment="1">
      <alignment horizontal="center"/>
    </xf>
    <xf numFmtId="1" fontId="15" fillId="2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75" fontId="15" fillId="2" borderId="0" xfId="1" applyNumberFormat="1" applyFont="1" applyFill="1" applyAlignment="1">
      <alignment horizontal="right"/>
    </xf>
    <xf numFmtId="175" fontId="15" fillId="2" borderId="3" xfId="1" applyNumberFormat="1" applyFont="1" applyFill="1" applyBorder="1" applyAlignment="1">
      <alignment horizontal="right"/>
    </xf>
    <xf numFmtId="175" fontId="15" fillId="3" borderId="0" xfId="1" applyNumberFormat="1" applyFont="1" applyFill="1" applyBorder="1" applyAlignment="1">
      <alignment horizontal="right"/>
    </xf>
    <xf numFmtId="175" fontId="15" fillId="3" borderId="3" xfId="1" applyNumberFormat="1" applyFont="1" applyFill="1" applyBorder="1" applyAlignment="1">
      <alignment horizontal="right"/>
    </xf>
    <xf numFmtId="173" fontId="15" fillId="3" borderId="5" xfId="1" applyNumberFormat="1" applyFont="1" applyFill="1" applyBorder="1" applyAlignment="1">
      <alignment horizontal="right"/>
    </xf>
    <xf numFmtId="167" fontId="15" fillId="3" borderId="5" xfId="0" applyNumberFormat="1" applyFont="1" applyFill="1" applyBorder="1" applyAlignment="1">
      <alignment horizontal="right"/>
    </xf>
    <xf numFmtId="175" fontId="15" fillId="3" borderId="5" xfId="1" applyNumberFormat="1" applyFont="1" applyFill="1" applyBorder="1" applyAlignment="1">
      <alignment horizontal="right"/>
    </xf>
    <xf numFmtId="173" fontId="0" fillId="0" borderId="0" xfId="0" applyNumberFormat="1"/>
    <xf numFmtId="164" fontId="0" fillId="0" borderId="0" xfId="2" applyNumberFormat="1" applyFont="1"/>
    <xf numFmtId="0" fontId="7" fillId="0" borderId="0" xfId="0" applyFont="1" applyAlignment="1">
      <alignment horizontal="left" vertical="center"/>
    </xf>
    <xf numFmtId="10" fontId="14" fillId="2" borderId="0" xfId="7" applyNumberFormat="1" applyFont="1" applyFill="1" applyBorder="1" applyAlignment="1">
      <alignment horizontal="right"/>
    </xf>
    <xf numFmtId="167" fontId="14" fillId="2" borderId="0" xfId="0" applyNumberFormat="1" applyFont="1" applyFill="1" applyBorder="1" applyAlignment="1">
      <alignment horizontal="right"/>
    </xf>
    <xf numFmtId="173" fontId="15" fillId="3" borderId="3" xfId="1" applyNumberFormat="1" applyFont="1" applyFill="1" applyBorder="1" applyAlignment="1">
      <alignment horizontal="right"/>
    </xf>
    <xf numFmtId="172" fontId="10" fillId="2" borderId="0" xfId="7" applyNumberFormat="1" applyFont="1" applyFill="1" applyAlignment="1">
      <alignment horizontal="right"/>
    </xf>
    <xf numFmtId="172" fontId="0" fillId="0" borderId="0" xfId="7" applyNumberFormat="1" applyFont="1"/>
    <xf numFmtId="9" fontId="0" fillId="0" borderId="0" xfId="7" applyFont="1"/>
    <xf numFmtId="4" fontId="15" fillId="3" borderId="5" xfId="0" applyNumberFormat="1" applyFont="1" applyFill="1" applyBorder="1" applyAlignment="1">
      <alignment horizontal="right"/>
    </xf>
    <xf numFmtId="173" fontId="13" fillId="2" borderId="0" xfId="110" applyNumberFormat="1" applyFont="1" applyFill="1" applyAlignment="1">
      <alignment vertical="center"/>
    </xf>
    <xf numFmtId="3" fontId="13" fillId="2" borderId="0" xfId="50" applyNumberFormat="1" applyFont="1" applyFill="1"/>
    <xf numFmtId="0" fontId="0" fillId="0" borderId="23" xfId="0" applyBorder="1"/>
    <xf numFmtId="17" fontId="2" fillId="3" borderId="23" xfId="0" applyNumberFormat="1" applyFont="1" applyFill="1" applyBorder="1" applyAlignment="1">
      <alignment horizontal="left"/>
    </xf>
    <xf numFmtId="3" fontId="15" fillId="3" borderId="23" xfId="10" applyNumberFormat="1" applyFont="1" applyFill="1" applyBorder="1" applyAlignment="1">
      <alignment horizontal="right" vertical="center" wrapText="1"/>
    </xf>
    <xf numFmtId="171" fontId="2" fillId="3" borderId="23" xfId="0" applyNumberFormat="1" applyFont="1" applyFill="1" applyBorder="1" applyAlignment="1">
      <alignment horizontal="right"/>
    </xf>
    <xf numFmtId="17" fontId="2" fillId="2" borderId="23" xfId="0" applyNumberFormat="1" applyFont="1" applyFill="1" applyBorder="1" applyAlignment="1">
      <alignment horizontal="left"/>
    </xf>
    <xf numFmtId="173" fontId="15" fillId="2" borderId="23" xfId="1" applyNumberFormat="1" applyFont="1" applyFill="1" applyBorder="1"/>
    <xf numFmtId="171" fontId="15" fillId="2" borderId="23" xfId="0" applyNumberFormat="1" applyFont="1" applyFill="1" applyBorder="1"/>
    <xf numFmtId="173" fontId="0" fillId="0" borderId="23" xfId="0" applyNumberFormat="1" applyFont="1" applyBorder="1"/>
    <xf numFmtId="0" fontId="0" fillId="0" borderId="23" xfId="0" applyNumberFormat="1" applyFont="1" applyBorder="1"/>
    <xf numFmtId="10" fontId="1" fillId="0" borderId="23" xfId="7" applyNumberFormat="1" applyFont="1" applyBorder="1"/>
    <xf numFmtId="3" fontId="15" fillId="2" borderId="23" xfId="10" applyNumberFormat="1" applyFont="1" applyFill="1" applyBorder="1" applyAlignment="1">
      <alignment horizontal="right" vertical="center" wrapText="1"/>
    </xf>
    <xf numFmtId="171" fontId="2" fillId="2" borderId="23" xfId="0" applyNumberFormat="1" applyFont="1" applyFill="1" applyBorder="1" applyAlignment="1">
      <alignment horizontal="right"/>
    </xf>
    <xf numFmtId="17" fontId="15" fillId="3" borderId="23" xfId="1" applyNumberFormat="1" applyFont="1" applyFill="1" applyBorder="1" applyAlignment="1">
      <alignment horizontal="left"/>
    </xf>
    <xf numFmtId="173" fontId="15" fillId="3" borderId="23" xfId="1" applyNumberFormat="1" applyFont="1" applyFill="1" applyBorder="1" applyAlignment="1">
      <alignment horizontal="right"/>
    </xf>
    <xf numFmtId="171" fontId="15" fillId="3" borderId="23" xfId="1" applyNumberFormat="1" applyFont="1" applyFill="1" applyBorder="1" applyAlignment="1">
      <alignment horizontal="right"/>
    </xf>
    <xf numFmtId="171" fontId="15" fillId="2" borderId="23" xfId="1" applyNumberFormat="1" applyFont="1" applyFill="1" applyBorder="1"/>
    <xf numFmtId="0" fontId="14" fillId="2" borderId="23" xfId="3" applyFont="1" applyFill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10" fontId="0" fillId="0" borderId="0" xfId="7" applyNumberFormat="1" applyFont="1"/>
    <xf numFmtId="3" fontId="0" fillId="0" borderId="0" xfId="0" applyNumberFormat="1"/>
    <xf numFmtId="10" fontId="0" fillId="0" borderId="0" xfId="0" applyNumberFormat="1"/>
    <xf numFmtId="173" fontId="15" fillId="3" borderId="3" xfId="109" applyNumberFormat="1" applyFont="1" applyFill="1" applyBorder="1"/>
    <xf numFmtId="172" fontId="15" fillId="2" borderId="3" xfId="7" applyNumberFormat="1" applyFont="1" applyFill="1" applyBorder="1"/>
    <xf numFmtId="178" fontId="0" fillId="0" borderId="23" xfId="0" applyNumberFormat="1" applyBorder="1"/>
    <xf numFmtId="178" fontId="0" fillId="0" borderId="23" xfId="11" applyNumberFormat="1" applyFont="1" applyBorder="1"/>
    <xf numFmtId="166" fontId="51" fillId="2" borderId="0" xfId="3" applyNumberFormat="1" applyFont="1" applyFill="1" applyBorder="1" applyAlignment="1" applyProtection="1">
      <alignment horizontal="center"/>
    </xf>
    <xf numFmtId="166" fontId="51" fillId="2" borderId="1" xfId="3" applyNumberFormat="1" applyFont="1" applyFill="1" applyBorder="1" applyAlignment="1" applyProtection="1"/>
    <xf numFmtId="17" fontId="51" fillId="2" borderId="1" xfId="0" applyNumberFormat="1" applyFont="1" applyFill="1" applyBorder="1" applyAlignment="1">
      <alignment horizontal="center" vertical="center"/>
    </xf>
    <xf numFmtId="49" fontId="51" fillId="2" borderId="1" xfId="4" applyNumberFormat="1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left"/>
    </xf>
    <xf numFmtId="3" fontId="51" fillId="2" borderId="0" xfId="0" applyNumberFormat="1" applyFont="1" applyFill="1"/>
    <xf numFmtId="167" fontId="51" fillId="2" borderId="0" xfId="0" applyNumberFormat="1" applyFont="1" applyFill="1" applyAlignment="1">
      <alignment horizontal="right"/>
    </xf>
    <xf numFmtId="0" fontId="51" fillId="2" borderId="0" xfId="0" applyFont="1" applyFill="1"/>
    <xf numFmtId="0" fontId="54" fillId="2" borderId="0" xfId="0" applyFont="1" applyFill="1" applyBorder="1"/>
    <xf numFmtId="3" fontId="54" fillId="2" borderId="0" xfId="0" applyNumberFormat="1" applyFont="1" applyFill="1" applyBorder="1"/>
    <xf numFmtId="167" fontId="54" fillId="2" borderId="0" xfId="0" applyNumberFormat="1" applyFont="1" applyFill="1" applyBorder="1" applyAlignment="1">
      <alignment horizontal="right"/>
    </xf>
    <xf numFmtId="169" fontId="55" fillId="2" borderId="1" xfId="1" applyNumberFormat="1" applyFont="1" applyFill="1" applyBorder="1"/>
    <xf numFmtId="3" fontId="55" fillId="2" borderId="1" xfId="0" applyNumberFormat="1" applyFont="1" applyFill="1" applyBorder="1"/>
    <xf numFmtId="167" fontId="55" fillId="2" borderId="1" xfId="0" applyNumberFormat="1" applyFont="1" applyFill="1" applyBorder="1" applyAlignment="1">
      <alignment horizontal="right"/>
    </xf>
    <xf numFmtId="169" fontId="55" fillId="2" borderId="0" xfId="1" applyNumberFormat="1" applyFont="1" applyFill="1" applyBorder="1"/>
    <xf numFmtId="3" fontId="55" fillId="2" borderId="0" xfId="0" applyNumberFormat="1" applyFont="1" applyFill="1" applyBorder="1"/>
    <xf numFmtId="167" fontId="55" fillId="2" borderId="0" xfId="0" applyNumberFormat="1" applyFont="1" applyFill="1" applyBorder="1" applyAlignment="1">
      <alignment horizontal="right"/>
    </xf>
    <xf numFmtId="17" fontId="51" fillId="2" borderId="1" xfId="0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 applyAlignment="1">
      <alignment horizontal="right"/>
    </xf>
    <xf numFmtId="3" fontId="15" fillId="2" borderId="0" xfId="10" applyNumberFormat="1" applyFont="1" applyFill="1" applyBorder="1" applyAlignment="1">
      <alignment horizontal="right" vertical="center" wrapText="1"/>
    </xf>
    <xf numFmtId="17" fontId="2" fillId="2" borderId="0" xfId="0" applyNumberFormat="1" applyFont="1" applyFill="1" applyBorder="1" applyAlignment="1">
      <alignment horizontal="left"/>
    </xf>
    <xf numFmtId="171" fontId="2" fillId="3" borderId="0" xfId="0" applyNumberFormat="1" applyFont="1" applyFill="1" applyBorder="1" applyAlignment="1">
      <alignment horizontal="right"/>
    </xf>
    <xf numFmtId="3" fontId="15" fillId="3" borderId="0" xfId="10" applyNumberFormat="1" applyFont="1" applyFill="1" applyBorder="1" applyAlignment="1">
      <alignment horizontal="right" vertical="center" wrapText="1"/>
    </xf>
    <xf numFmtId="17" fontId="2" fillId="3" borderId="0" xfId="0" applyNumberFormat="1" applyFont="1" applyFill="1" applyBorder="1" applyAlignment="1">
      <alignment horizontal="left"/>
    </xf>
    <xf numFmtId="17" fontId="15" fillId="3" borderId="0" xfId="114" applyNumberFormat="1" applyFont="1" applyFill="1" applyBorder="1" applyAlignment="1">
      <alignment horizontal="left"/>
    </xf>
    <xf numFmtId="173" fontId="15" fillId="2" borderId="0" xfId="114" applyNumberFormat="1" applyFont="1" applyFill="1" applyBorder="1"/>
    <xf numFmtId="173" fontId="15" fillId="3" borderId="0" xfId="114" applyNumberFormat="1" applyFont="1" applyFill="1" applyBorder="1"/>
    <xf numFmtId="17" fontId="15" fillId="2" borderId="0" xfId="114" applyNumberFormat="1" applyFont="1" applyFill="1" applyBorder="1" applyAlignment="1">
      <alignment horizontal="left"/>
    </xf>
    <xf numFmtId="17" fontId="2" fillId="2" borderId="0" xfId="0" applyNumberFormat="1" applyFont="1" applyFill="1" applyAlignment="1">
      <alignment horizontal="left"/>
    </xf>
    <xf numFmtId="171" fontId="15" fillId="2" borderId="0" xfId="0" applyNumberFormat="1" applyFont="1" applyFill="1"/>
    <xf numFmtId="17" fontId="2" fillId="3" borderId="0" xfId="0" applyNumberFormat="1" applyFont="1" applyFill="1" applyAlignment="1">
      <alignment horizontal="left"/>
    </xf>
    <xf numFmtId="171" fontId="15" fillId="3" borderId="0" xfId="0" applyNumberFormat="1" applyFont="1" applyFill="1"/>
    <xf numFmtId="171" fontId="15" fillId="2" borderId="0" xfId="0" applyNumberFormat="1" applyFont="1" applyFill="1" applyBorder="1"/>
    <xf numFmtId="171" fontId="15" fillId="3" borderId="0" xfId="0" applyNumberFormat="1" applyFont="1" applyFill="1" applyBorder="1"/>
    <xf numFmtId="179" fontId="0" fillId="0" borderId="0" xfId="0" applyNumberFormat="1"/>
    <xf numFmtId="0" fontId="57" fillId="3" borderId="0" xfId="0" applyFont="1" applyFill="1" applyAlignment="1">
      <alignment vertical="center"/>
    </xf>
    <xf numFmtId="0" fontId="57" fillId="3" borderId="0" xfId="0" applyFont="1" applyFill="1" applyAlignment="1">
      <alignment vertical="center" wrapText="1"/>
    </xf>
    <xf numFmtId="0" fontId="57" fillId="2" borderId="0" xfId="0" applyFont="1" applyFill="1" applyAlignment="1">
      <alignment vertical="center"/>
    </xf>
    <xf numFmtId="0" fontId="57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3" fontId="58" fillId="3" borderId="0" xfId="3" applyNumberFormat="1" applyFont="1" applyFill="1" applyBorder="1" applyAlignment="1">
      <alignment horizontal="right" vertical="center"/>
    </xf>
    <xf numFmtId="3" fontId="58" fillId="2" borderId="0" xfId="3" applyNumberFormat="1" applyFont="1" applyFill="1" applyBorder="1" applyAlignment="1">
      <alignment horizontal="right" vertical="center"/>
    </xf>
    <xf numFmtId="180" fontId="0" fillId="0" borderId="0" xfId="1" applyNumberFormat="1" applyFont="1"/>
    <xf numFmtId="169" fontId="57" fillId="3" borderId="0" xfId="10" applyNumberFormat="1" applyFont="1" applyFill="1" applyAlignment="1">
      <alignment vertical="center"/>
    </xf>
    <xf numFmtId="169" fontId="57" fillId="2" borderId="0" xfId="10" applyNumberFormat="1" applyFont="1" applyFill="1" applyAlignment="1">
      <alignment vertical="center"/>
    </xf>
    <xf numFmtId="181" fontId="0" fillId="0" borderId="0" xfId="0" applyNumberFormat="1"/>
    <xf numFmtId="0" fontId="0" fillId="0" borderId="0" xfId="0" applyAlignment="1">
      <alignment horizontal="center" wrapText="1"/>
    </xf>
    <xf numFmtId="181" fontId="0" fillId="4" borderId="0" xfId="0" applyNumberFormat="1" applyFill="1"/>
    <xf numFmtId="172" fontId="0" fillId="0" borderId="0" xfId="0" applyNumberFormat="1"/>
    <xf numFmtId="167" fontId="57" fillId="3" borderId="0" xfId="10" applyNumberFormat="1" applyFont="1" applyFill="1" applyAlignment="1">
      <alignment vertical="center"/>
    </xf>
    <xf numFmtId="167" fontId="57" fillId="2" borderId="0" xfId="10" applyNumberFormat="1" applyFont="1" applyFill="1" applyAlignment="1">
      <alignment vertical="center"/>
    </xf>
    <xf numFmtId="167" fontId="57" fillId="2" borderId="0" xfId="10" applyNumberFormat="1" applyFont="1" applyFill="1" applyAlignment="1">
      <alignment vertical="center" wrapText="1"/>
    </xf>
    <xf numFmtId="3" fontId="58" fillId="3" borderId="0" xfId="3" applyNumberFormat="1" applyFont="1" applyFill="1" applyBorder="1" applyAlignment="1">
      <alignment horizontal="left" vertical="center" wrapText="1"/>
    </xf>
    <xf numFmtId="3" fontId="58" fillId="2" borderId="0" xfId="3" applyNumberFormat="1" applyFont="1" applyFill="1" applyBorder="1" applyAlignment="1">
      <alignment horizontal="left" vertical="center" wrapText="1"/>
    </xf>
    <xf numFmtId="166" fontId="51" fillId="2" borderId="25" xfId="3" applyNumberFormat="1" applyFont="1" applyFill="1" applyBorder="1" applyAlignment="1" applyProtection="1">
      <alignment horizontal="center"/>
    </xf>
    <xf numFmtId="3" fontId="51" fillId="2" borderId="0" xfId="0" applyNumberFormat="1" applyFont="1" applyFill="1" applyBorder="1"/>
    <xf numFmtId="167" fontId="51" fillId="2" borderId="0" xfId="0" applyNumberFormat="1" applyFont="1" applyFill="1" applyBorder="1" applyAlignment="1">
      <alignment horizontal="right"/>
    </xf>
    <xf numFmtId="0" fontId="51" fillId="2" borderId="0" xfId="0" applyFont="1" applyFill="1" applyBorder="1"/>
    <xf numFmtId="178" fontId="0" fillId="0" borderId="0" xfId="11" applyNumberFormat="1" applyFont="1" applyFill="1" applyBorder="1"/>
    <xf numFmtId="0" fontId="51" fillId="2" borderId="25" xfId="6" applyFont="1" applyFill="1" applyBorder="1" applyAlignment="1">
      <alignment horizontal="left"/>
    </xf>
    <xf numFmtId="3" fontId="51" fillId="2" borderId="25" xfId="0" applyNumberFormat="1" applyFont="1" applyFill="1" applyBorder="1"/>
    <xf numFmtId="0" fontId="59" fillId="2" borderId="1" xfId="3" applyFont="1" applyFill="1" applyBorder="1" applyAlignment="1">
      <alignment horizontal="center"/>
    </xf>
    <xf numFmtId="166" fontId="61" fillId="2" borderId="0" xfId="3" applyNumberFormat="1" applyFont="1" applyFill="1" applyBorder="1" applyAlignment="1" applyProtection="1">
      <alignment horizontal="center"/>
    </xf>
    <xf numFmtId="166" fontId="61" fillId="2" borderId="1" xfId="3" applyNumberFormat="1" applyFont="1" applyFill="1" applyBorder="1" applyAlignment="1" applyProtection="1"/>
    <xf numFmtId="0" fontId="61" fillId="2" borderId="1" xfId="0" applyFont="1" applyFill="1" applyBorder="1" applyAlignment="1">
      <alignment horizontal="center" vertical="center"/>
    </xf>
    <xf numFmtId="49" fontId="61" fillId="2" borderId="1" xfId="4" applyNumberFormat="1" applyFont="1" applyFill="1" applyBorder="1" applyAlignment="1">
      <alignment horizontal="center" vertical="center" wrapText="1"/>
    </xf>
    <xf numFmtId="166" fontId="61" fillId="2" borderId="0" xfId="3" applyNumberFormat="1" applyFont="1" applyFill="1" applyBorder="1" applyAlignment="1" applyProtection="1"/>
    <xf numFmtId="0" fontId="61" fillId="2" borderId="0" xfId="0" applyFont="1" applyFill="1" applyBorder="1" applyAlignment="1">
      <alignment horizontal="center" vertical="center"/>
    </xf>
    <xf numFmtId="49" fontId="61" fillId="2" borderId="0" xfId="4" applyNumberFormat="1" applyFont="1" applyFill="1" applyBorder="1" applyAlignment="1">
      <alignment horizontal="center" vertical="center" wrapText="1"/>
    </xf>
    <xf numFmtId="0" fontId="59" fillId="3" borderId="0" xfId="5" applyFont="1" applyFill="1" applyBorder="1" applyAlignment="1">
      <alignment horizontal="left"/>
    </xf>
    <xf numFmtId="3" fontId="59" fillId="3" borderId="0" xfId="0" applyNumberFormat="1" applyFont="1" applyFill="1"/>
    <xf numFmtId="167" fontId="59" fillId="3" borderId="0" xfId="0" applyNumberFormat="1" applyFont="1" applyFill="1" applyAlignment="1">
      <alignment horizontal="right"/>
    </xf>
    <xf numFmtId="0" fontId="59" fillId="2" borderId="3" xfId="5" applyFont="1" applyFill="1" applyBorder="1" applyAlignment="1">
      <alignment horizontal="left"/>
    </xf>
    <xf numFmtId="3" fontId="59" fillId="2" borderId="3" xfId="0" applyNumberFormat="1" applyFont="1" applyFill="1" applyBorder="1"/>
    <xf numFmtId="167" fontId="59" fillId="2" borderId="3" xfId="0" applyNumberFormat="1" applyFont="1" applyFill="1" applyBorder="1" applyAlignment="1">
      <alignment horizontal="right"/>
    </xf>
    <xf numFmtId="0" fontId="59" fillId="2" borderId="1" xfId="5" applyFont="1" applyFill="1" applyBorder="1" applyAlignment="1">
      <alignment horizontal="left"/>
    </xf>
    <xf numFmtId="3" fontId="59" fillId="2" borderId="1" xfId="0" applyNumberFormat="1" applyFont="1" applyFill="1" applyBorder="1"/>
    <xf numFmtId="167" fontId="59" fillId="2" borderId="1" xfId="0" applyNumberFormat="1" applyFont="1" applyFill="1" applyBorder="1" applyAlignment="1">
      <alignment horizontal="right"/>
    </xf>
    <xf numFmtId="17" fontId="15" fillId="3" borderId="3" xfId="114" applyNumberFormat="1" applyFont="1" applyFill="1" applyBorder="1" applyAlignment="1">
      <alignment horizontal="left"/>
    </xf>
    <xf numFmtId="173" fontId="15" fillId="3" borderId="3" xfId="114" applyNumberFormat="1" applyFont="1" applyFill="1" applyBorder="1" applyAlignment="1">
      <alignment horizontal="right"/>
    </xf>
    <xf numFmtId="171" fontId="15" fillId="3" borderId="3" xfId="0" applyNumberFormat="1" applyFont="1" applyFill="1" applyBorder="1"/>
    <xf numFmtId="171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182" fontId="15" fillId="2" borderId="0" xfId="1" applyNumberFormat="1" applyFont="1" applyFill="1" applyAlignment="1">
      <alignment horizontal="right"/>
    </xf>
    <xf numFmtId="182" fontId="15" fillId="2" borderId="3" xfId="1" applyNumberFormat="1" applyFont="1" applyFill="1" applyBorder="1" applyAlignment="1">
      <alignment horizontal="right"/>
    </xf>
    <xf numFmtId="3" fontId="15" fillId="2" borderId="0" xfId="198" applyNumberFormat="1" applyFont="1" applyFill="1" applyBorder="1" applyAlignment="1">
      <alignment horizontal="right" vertical="center" wrapText="1"/>
    </xf>
    <xf numFmtId="3" fontId="15" fillId="3" borderId="0" xfId="198" applyNumberFormat="1" applyFont="1" applyFill="1" applyBorder="1" applyAlignment="1">
      <alignment horizontal="right" vertical="center" wrapText="1"/>
    </xf>
    <xf numFmtId="17" fontId="2" fillId="3" borderId="0" xfId="255" applyNumberFormat="1" applyFont="1" applyFill="1" applyBorder="1" applyAlignment="1">
      <alignment horizontal="left"/>
    </xf>
    <xf numFmtId="17" fontId="2" fillId="2" borderId="0" xfId="255" applyNumberFormat="1" applyFont="1" applyFill="1" applyBorder="1" applyAlignment="1">
      <alignment horizontal="left"/>
    </xf>
    <xf numFmtId="171" fontId="2" fillId="2" borderId="0" xfId="255" applyNumberFormat="1" applyFont="1" applyFill="1" applyBorder="1" applyAlignment="1">
      <alignment horizontal="right"/>
    </xf>
    <xf numFmtId="171" fontId="2" fillId="3" borderId="0" xfId="255" applyNumberFormat="1" applyFont="1" applyFill="1" applyBorder="1" applyAlignment="1">
      <alignment horizontal="right"/>
    </xf>
    <xf numFmtId="17" fontId="2" fillId="3" borderId="3" xfId="255" applyNumberFormat="1" applyFont="1" applyFill="1" applyBorder="1" applyAlignment="1">
      <alignment horizontal="left"/>
    </xf>
    <xf numFmtId="3" fontId="15" fillId="3" borderId="3" xfId="198" applyNumberFormat="1" applyFont="1" applyFill="1" applyBorder="1" applyAlignment="1">
      <alignment horizontal="right" vertical="center" wrapText="1"/>
    </xf>
    <xf numFmtId="171" fontId="2" fillId="3" borderId="3" xfId="255" applyNumberFormat="1" applyFont="1" applyFill="1" applyBorder="1" applyAlignment="1">
      <alignment horizontal="right"/>
    </xf>
    <xf numFmtId="3" fontId="15" fillId="2" borderId="0" xfId="198" applyNumberFormat="1" applyFont="1" applyFill="1" applyBorder="1" applyAlignment="1">
      <alignment horizontal="right" vertical="center" wrapText="1"/>
    </xf>
    <xf numFmtId="3" fontId="15" fillId="3" borderId="0" xfId="198" applyNumberFormat="1" applyFont="1" applyFill="1" applyBorder="1" applyAlignment="1">
      <alignment horizontal="right" vertical="center" wrapText="1"/>
    </xf>
    <xf numFmtId="17" fontId="2" fillId="3" borderId="0" xfId="255" applyNumberFormat="1" applyFont="1" applyFill="1" applyBorder="1" applyAlignment="1">
      <alignment horizontal="left"/>
    </xf>
    <xf numFmtId="17" fontId="2" fillId="2" borderId="0" xfId="255" applyNumberFormat="1" applyFont="1" applyFill="1" applyBorder="1" applyAlignment="1">
      <alignment horizontal="left"/>
    </xf>
    <xf numFmtId="171" fontId="2" fillId="2" borderId="0" xfId="255" applyNumberFormat="1" applyFont="1" applyFill="1" applyBorder="1" applyAlignment="1">
      <alignment horizontal="right"/>
    </xf>
    <xf numFmtId="171" fontId="2" fillId="3" borderId="0" xfId="255" applyNumberFormat="1" applyFont="1" applyFill="1" applyBorder="1" applyAlignment="1">
      <alignment horizontal="right"/>
    </xf>
    <xf numFmtId="17" fontId="2" fillId="3" borderId="3" xfId="255" applyNumberFormat="1" applyFont="1" applyFill="1" applyBorder="1" applyAlignment="1">
      <alignment horizontal="left"/>
    </xf>
    <xf numFmtId="3" fontId="15" fillId="3" borderId="3" xfId="198" applyNumberFormat="1" applyFont="1" applyFill="1" applyBorder="1" applyAlignment="1">
      <alignment horizontal="right" vertical="center" wrapText="1"/>
    </xf>
    <xf numFmtId="171" fontId="2" fillId="3" borderId="3" xfId="255" applyNumberFormat="1" applyFont="1" applyFill="1" applyBorder="1" applyAlignment="1">
      <alignment horizontal="right"/>
    </xf>
    <xf numFmtId="0" fontId="60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2" fillId="2" borderId="2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256">
    <cellStyle name="20% - Énfasis1" xfId="27" builtinId="30" customBuiltin="1"/>
    <cellStyle name="20% - Énfasis1 2" xfId="51"/>
    <cellStyle name="20% - Énfasis1 2 2" xfId="52"/>
    <cellStyle name="20% - Énfasis1 2 2 2" xfId="235"/>
    <cellStyle name="20% - Énfasis1 2 3" xfId="236"/>
    <cellStyle name="20% - Énfasis1 3" xfId="53"/>
    <cellStyle name="20% - Énfasis1 3 2" xfId="140"/>
    <cellStyle name="20% - Énfasis1 3 3" xfId="139"/>
    <cellStyle name="20% - Énfasis2" xfId="31" builtinId="34" customBuiltin="1"/>
    <cellStyle name="20% - Énfasis2 2" xfId="54"/>
    <cellStyle name="20% - Énfasis2 2 2" xfId="55"/>
    <cellStyle name="20% - Énfasis2 2 2 2" xfId="233"/>
    <cellStyle name="20% - Énfasis2 2 3" xfId="234"/>
    <cellStyle name="20% - Énfasis2 3" xfId="56"/>
    <cellStyle name="20% - Énfasis2 3 2" xfId="142"/>
    <cellStyle name="20% - Énfasis2 3 3" xfId="141"/>
    <cellStyle name="20% - Énfasis3" xfId="35" builtinId="38" customBuiltin="1"/>
    <cellStyle name="20% - Énfasis3 2" xfId="57"/>
    <cellStyle name="20% - Énfasis3 2 2" xfId="58"/>
    <cellStyle name="20% - Énfasis3 2 2 2" xfId="231"/>
    <cellStyle name="20% - Énfasis3 2 3" xfId="232"/>
    <cellStyle name="20% - Énfasis3 3" xfId="59"/>
    <cellStyle name="20% - Énfasis3 3 2" xfId="144"/>
    <cellStyle name="20% - Énfasis3 3 3" xfId="143"/>
    <cellStyle name="20% - Énfasis4" xfId="39" builtinId="42" customBuiltin="1"/>
    <cellStyle name="20% - Énfasis4 2" xfId="60"/>
    <cellStyle name="20% - Énfasis4 2 2" xfId="61"/>
    <cellStyle name="20% - Énfasis4 2 2 2" xfId="229"/>
    <cellStyle name="20% - Énfasis4 2 3" xfId="230"/>
    <cellStyle name="20% - Énfasis4 3" xfId="62"/>
    <cellStyle name="20% - Énfasis4 3 2" xfId="146"/>
    <cellStyle name="20% - Énfasis4 3 3" xfId="145"/>
    <cellStyle name="20% - Énfasis5" xfId="43" builtinId="46" customBuiltin="1"/>
    <cellStyle name="20% - Énfasis5 2" xfId="63"/>
    <cellStyle name="20% - Énfasis5 2 2" xfId="64"/>
    <cellStyle name="20% - Énfasis5 2 2 2" xfId="200"/>
    <cellStyle name="20% - Énfasis5 2 3" xfId="228"/>
    <cellStyle name="20% - Énfasis5 3" xfId="65"/>
    <cellStyle name="20% - Énfasis5 3 2" xfId="148"/>
    <cellStyle name="20% - Énfasis5 3 3" xfId="147"/>
    <cellStyle name="20% - Énfasis6" xfId="47" builtinId="50" customBuiltin="1"/>
    <cellStyle name="20% - Énfasis6 2" xfId="66"/>
    <cellStyle name="20% - Énfasis6 2 2" xfId="67"/>
    <cellStyle name="20% - Énfasis6 2 2 2" xfId="226"/>
    <cellStyle name="20% - Énfasis6 2 3" xfId="227"/>
    <cellStyle name="20% - Énfasis6 3" xfId="68"/>
    <cellStyle name="20% - Énfasis6 3 2" xfId="150"/>
    <cellStyle name="20% - Énfasis6 3 3" xfId="149"/>
    <cellStyle name="40% - Énfasis1" xfId="28" builtinId="31" customBuiltin="1"/>
    <cellStyle name="40% - Énfasis1 2" xfId="69"/>
    <cellStyle name="40% - Énfasis1 2 2" xfId="70"/>
    <cellStyle name="40% - Énfasis1 2 2 2" xfId="224"/>
    <cellStyle name="40% - Énfasis1 2 3" xfId="225"/>
    <cellStyle name="40% - Énfasis1 3" xfId="71"/>
    <cellStyle name="40% - Énfasis1 3 2" xfId="152"/>
    <cellStyle name="40% - Énfasis1 3 3" xfId="151"/>
    <cellStyle name="40% - Énfasis2" xfId="32" builtinId="35" customBuiltin="1"/>
    <cellStyle name="40% - Énfasis2 2" xfId="72"/>
    <cellStyle name="40% - Énfasis2 2 2" xfId="73"/>
    <cellStyle name="40% - Énfasis2 2 2 2" xfId="222"/>
    <cellStyle name="40% - Énfasis2 2 3" xfId="223"/>
    <cellStyle name="40% - Énfasis2 3" xfId="74"/>
    <cellStyle name="40% - Énfasis2 3 2" xfId="154"/>
    <cellStyle name="40% - Énfasis2 3 3" xfId="153"/>
    <cellStyle name="40% - Énfasis3" xfId="36" builtinId="39" customBuiltin="1"/>
    <cellStyle name="40% - Énfasis3 2" xfId="75"/>
    <cellStyle name="40% - Énfasis3 2 2" xfId="76"/>
    <cellStyle name="40% - Énfasis3 2 2 2" xfId="239"/>
    <cellStyle name="40% - Énfasis3 2 3" xfId="240"/>
    <cellStyle name="40% - Énfasis3 3" xfId="77"/>
    <cellStyle name="40% - Énfasis3 3 2" xfId="156"/>
    <cellStyle name="40% - Énfasis3 3 3" xfId="155"/>
    <cellStyle name="40% - Énfasis4" xfId="40" builtinId="43" customBuiltin="1"/>
    <cellStyle name="40% - Énfasis4 2" xfId="78"/>
    <cellStyle name="40% - Énfasis4 2 2" xfId="79"/>
    <cellStyle name="40% - Énfasis4 2 2 2" xfId="220"/>
    <cellStyle name="40% - Énfasis4 2 3" xfId="221"/>
    <cellStyle name="40% - Énfasis4 3" xfId="80"/>
    <cellStyle name="40% - Énfasis4 3 2" xfId="158"/>
    <cellStyle name="40% - Énfasis4 3 3" xfId="157"/>
    <cellStyle name="40% - Énfasis5" xfId="44" builtinId="47" customBuiltin="1"/>
    <cellStyle name="40% - Énfasis5 2" xfId="81"/>
    <cellStyle name="40% - Énfasis5 2 2" xfId="82"/>
    <cellStyle name="40% - Énfasis5 2 2 2" xfId="218"/>
    <cellStyle name="40% - Énfasis5 2 3" xfId="219"/>
    <cellStyle name="40% - Énfasis5 3" xfId="83"/>
    <cellStyle name="40% - Énfasis5 3 2" xfId="160"/>
    <cellStyle name="40% - Énfasis5 3 3" xfId="159"/>
    <cellStyle name="40% - Énfasis6" xfId="48" builtinId="51" customBuiltin="1"/>
    <cellStyle name="40% - Énfasis6 2" xfId="84"/>
    <cellStyle name="40% - Énfasis6 2 2" xfId="85"/>
    <cellStyle name="40% - Énfasis6 2 2 2" xfId="216"/>
    <cellStyle name="40% - Énfasis6 2 3" xfId="217"/>
    <cellStyle name="40% - Énfasis6 3" xfId="86"/>
    <cellStyle name="40% - Énfasis6 3 2" xfId="162"/>
    <cellStyle name="40% - Énfasis6 3 3" xfId="161"/>
    <cellStyle name="60% - Énfasis1" xfId="29" builtinId="32" customBuiltin="1"/>
    <cellStyle name="60% - Énfasis1 2" xfId="87"/>
    <cellStyle name="60% - Énfasis1 2 2" xfId="215"/>
    <cellStyle name="60% - Énfasis1 3" xfId="163"/>
    <cellStyle name="60% - Énfasis2" xfId="33" builtinId="36" customBuiltin="1"/>
    <cellStyle name="60% - Énfasis2 2" xfId="88"/>
    <cellStyle name="60% - Énfasis2 3" xfId="164"/>
    <cellStyle name="60% - Énfasis3" xfId="37" builtinId="40" customBuiltin="1"/>
    <cellStyle name="60% - Énfasis3 2" xfId="89"/>
    <cellStyle name="60% - Énfasis3 2 2" xfId="214"/>
    <cellStyle name="60% - Énfasis3 3" xfId="165"/>
    <cellStyle name="60% - Énfasis4" xfId="41" builtinId="44" customBuiltin="1"/>
    <cellStyle name="60% - Énfasis4 2" xfId="90"/>
    <cellStyle name="60% - Énfasis4 2 2" xfId="213"/>
    <cellStyle name="60% - Énfasis4 3" xfId="166"/>
    <cellStyle name="60% - Énfasis5" xfId="45" builtinId="48" customBuiltin="1"/>
    <cellStyle name="60% - Énfasis5 2" xfId="91"/>
    <cellStyle name="60% - Énfasis5 3" xfId="167"/>
    <cellStyle name="60% - Énfasis6" xfId="49" builtinId="52" customBuiltin="1"/>
    <cellStyle name="60% - Énfasis6 2" xfId="92"/>
    <cellStyle name="60% - Énfasis6 2 2" xfId="212"/>
    <cellStyle name="60% - Énfasis6 3" xfId="168"/>
    <cellStyle name="Buena" xfId="15" builtinId="26" customBuiltin="1"/>
    <cellStyle name="Buena 2" xfId="93"/>
    <cellStyle name="Buena 3" xfId="169"/>
    <cellStyle name="Cálculo" xfId="20" builtinId="22" customBuiltin="1"/>
    <cellStyle name="Cálculo 2" xfId="94"/>
    <cellStyle name="Cálculo 2 2" xfId="211"/>
    <cellStyle name="Cálculo 3" xfId="170"/>
    <cellStyle name="Celda de comprobación" xfId="22" builtinId="23" customBuiltin="1"/>
    <cellStyle name="Celda de comprobación 2" xfId="95"/>
    <cellStyle name="Celda de comprobación 3" xfId="171"/>
    <cellStyle name="Celda vinculada" xfId="21" builtinId="24" customBuiltin="1"/>
    <cellStyle name="Celda vinculada 2" xfId="96"/>
    <cellStyle name="Celda vinculada 3" xfId="172"/>
    <cellStyle name="Encabezado 4" xfId="14" builtinId="19" customBuiltin="1"/>
    <cellStyle name="Encabezado 4 2" xfId="97"/>
    <cellStyle name="Encabezado 4 2 2" xfId="210"/>
    <cellStyle name="Encabezado 4 3" xfId="173"/>
    <cellStyle name="Énfasis1" xfId="26" builtinId="29" customBuiltin="1"/>
    <cellStyle name="Énfasis1 2" xfId="98"/>
    <cellStyle name="Énfasis1 2 2" xfId="209"/>
    <cellStyle name="Énfasis1 3" xfId="174"/>
    <cellStyle name="Énfasis2" xfId="30" builtinId="33" customBuiltin="1"/>
    <cellStyle name="Énfasis2 2" xfId="99"/>
    <cellStyle name="Énfasis2 3" xfId="175"/>
    <cellStyle name="Énfasis3" xfId="34" builtinId="37" customBuiltin="1"/>
    <cellStyle name="Énfasis3 2" xfId="100"/>
    <cellStyle name="Énfasis3 3" xfId="176"/>
    <cellStyle name="Énfasis4" xfId="38" builtinId="41" customBuiltin="1"/>
    <cellStyle name="Énfasis4 2" xfId="101"/>
    <cellStyle name="Énfasis4 2 2" xfId="208"/>
    <cellStyle name="Énfasis4 3" xfId="177"/>
    <cellStyle name="Énfasis5" xfId="42" builtinId="45" customBuiltin="1"/>
    <cellStyle name="Énfasis5 2" xfId="102"/>
    <cellStyle name="Énfasis5 3" xfId="178"/>
    <cellStyle name="Énfasis6" xfId="46" builtinId="49" customBuiltin="1"/>
    <cellStyle name="Énfasis6 2" xfId="103"/>
    <cellStyle name="Énfasis6 3" xfId="179"/>
    <cellStyle name="Entrada" xfId="18" builtinId="20" customBuiltin="1"/>
    <cellStyle name="Entrada 2" xfId="104"/>
    <cellStyle name="Entrada 2 2" xfId="207"/>
    <cellStyle name="Entrada 3" xfId="180"/>
    <cellStyle name="Hipervínculo 2" xfId="106"/>
    <cellStyle name="Hipervínculo 3" xfId="105"/>
    <cellStyle name="Incorrecto" xfId="16" builtinId="27" customBuiltin="1"/>
    <cellStyle name="Incorrecto 2" xfId="107"/>
    <cellStyle name="Incorrecto 3" xfId="181"/>
    <cellStyle name="Millares" xfId="1" builtinId="3"/>
    <cellStyle name="Millares [0]" xfId="2" builtinId="6"/>
    <cellStyle name="Millares 2" xfId="9"/>
    <cellStyle name="Millares 2 2" xfId="109"/>
    <cellStyle name="Millares 2 2 2" xfId="237"/>
    <cellStyle name="Millares 2 2 3" xfId="253"/>
    <cellStyle name="Millares 2 3" xfId="110"/>
    <cellStyle name="Millares 2 3 2" xfId="238"/>
    <cellStyle name="Millares 2 4" xfId="108"/>
    <cellStyle name="Millares 2 5" xfId="206"/>
    <cellStyle name="Millares 2 6" xfId="252"/>
    <cellStyle name="Millares 3" xfId="4"/>
    <cellStyle name="Millares 3 2" xfId="112"/>
    <cellStyle name="Millares 3 2 2" xfId="113"/>
    <cellStyle name="Millares 3 3" xfId="114"/>
    <cellStyle name="Millares 3 3 2" xfId="205"/>
    <cellStyle name="Millares 3 4" xfId="111"/>
    <cellStyle name="Millares 4" xfId="10"/>
    <cellStyle name="Millares 4 2" xfId="182"/>
    <cellStyle name="Millares 4 3" xfId="198"/>
    <cellStyle name="Millares 5" xfId="204"/>
    <cellStyle name="Millares 6" xfId="203"/>
    <cellStyle name="Millares 7" xfId="202"/>
    <cellStyle name="Millares 8" xfId="201"/>
    <cellStyle name="Moneda" xfId="11" builtinId="4"/>
    <cellStyle name="Neutral" xfId="17" builtinId="28" customBuiltin="1"/>
    <cellStyle name="Neutral 2" xfId="115"/>
    <cellStyle name="Neutral 3" xfId="183"/>
    <cellStyle name="Normal" xfId="0" builtinId="0"/>
    <cellStyle name="Normal 10" xfId="254"/>
    <cellStyle name="Normal 11" xfId="255"/>
    <cellStyle name="Normal 2" xfId="3"/>
    <cellStyle name="Normal 2 2" xfId="8"/>
    <cellStyle name="Normal 2 2 2" xfId="116"/>
    <cellStyle name="Normal 2 3" xfId="5"/>
    <cellStyle name="Normal 3" xfId="6"/>
    <cellStyle name="Normal 3 2" xfId="117"/>
    <cellStyle name="Normal 3 2 2" xfId="118"/>
    <cellStyle name="Normal 3 3" xfId="119"/>
    <cellStyle name="Normal 4" xfId="120"/>
    <cellStyle name="Normal 4 2" xfId="121"/>
    <cellStyle name="Normal 4 3" xfId="199"/>
    <cellStyle name="Normal 5" xfId="122"/>
    <cellStyle name="Normal 5 2" xfId="123"/>
    <cellStyle name="Normal 5 3" xfId="184"/>
    <cellStyle name="Normal 5 4" xfId="241"/>
    <cellStyle name="Normal 6" xfId="124"/>
    <cellStyle name="Normal 6 2" xfId="185"/>
    <cellStyle name="Normal 7" xfId="50"/>
    <cellStyle name="Normal 7 2" xfId="186"/>
    <cellStyle name="Normal 7 3" xfId="242"/>
    <cellStyle name="Normal 8" xfId="187"/>
    <cellStyle name="Normal 8 2" xfId="243"/>
    <cellStyle name="Normal 9" xfId="197"/>
    <cellStyle name="Notas 2" xfId="125"/>
    <cellStyle name="Notas 2 2" xfId="126"/>
    <cellStyle name="Notas 2 2 2" xfId="245"/>
    <cellStyle name="Notas 2 3" xfId="244"/>
    <cellStyle name="Notas 3" xfId="127"/>
    <cellStyle name="Notas 3 2" xfId="128"/>
    <cellStyle name="Notas 3 3" xfId="188"/>
    <cellStyle name="Porcentaje" xfId="7" builtinId="5"/>
    <cellStyle name="Porcentaje 2" xfId="129"/>
    <cellStyle name="Porcentaje 3" xfId="189"/>
    <cellStyle name="Salida" xfId="19" builtinId="21" customBuiltin="1"/>
    <cellStyle name="Salida 2" xfId="130"/>
    <cellStyle name="Salida 2 2" xfId="246"/>
    <cellStyle name="Salida 3" xfId="190"/>
    <cellStyle name="Texto de advertencia" xfId="23" builtinId="11" customBuiltin="1"/>
    <cellStyle name="Texto de advertencia 2" xfId="131"/>
    <cellStyle name="Texto de advertencia 3" xfId="191"/>
    <cellStyle name="Texto explicativo" xfId="24" builtinId="53" customBuiltin="1"/>
    <cellStyle name="Texto explicativo 2" xfId="132"/>
    <cellStyle name="Texto explicativo 3" xfId="192"/>
    <cellStyle name="Título 1 2" xfId="134"/>
    <cellStyle name="Título 1 2 2" xfId="247"/>
    <cellStyle name="Título 2" xfId="12" builtinId="17" customBuiltin="1"/>
    <cellStyle name="Título 2 2" xfId="135"/>
    <cellStyle name="Título 2 2 2" xfId="248"/>
    <cellStyle name="Título 2 3" xfId="193"/>
    <cellStyle name="Título 3" xfId="13" builtinId="18" customBuiltin="1"/>
    <cellStyle name="Título 3 2" xfId="136"/>
    <cellStyle name="Título 3 2 2" xfId="249"/>
    <cellStyle name="Título 3 3" xfId="194"/>
    <cellStyle name="Título 4" xfId="137"/>
    <cellStyle name="Título 4 2" xfId="250"/>
    <cellStyle name="Título 5" xfId="133"/>
    <cellStyle name="Título 5 2" xfId="195"/>
    <cellStyle name="Total" xfId="25" builtinId="25" customBuiltin="1"/>
    <cellStyle name="Total 2" xfId="138"/>
    <cellStyle name="Total 2 2" xfId="251"/>
    <cellStyle name="Total 3" xfId="196"/>
  </cellStyles>
  <dxfs count="0"/>
  <tableStyles count="0" defaultTableStyle="TableStyleMedium2" defaultPivotStyle="PivotStyleLight16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12006894660558"/>
          <c:y val="5.0925925925925923E-2"/>
          <c:w val="0.68710208798527039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'AÑO CORRIDO'!$B$12:$B$21</c:f>
              <c:strCache>
                <c:ptCount val="10"/>
                <c:pt idx="0">
                  <c:v>ZFP Rionegro</c:v>
                </c:pt>
                <c:pt idx="1">
                  <c:v>ZFP Barranquilla</c:v>
                </c:pt>
                <c:pt idx="2">
                  <c:v>ZFP Cencauca(parque industrial caloto)</c:v>
                </c:pt>
                <c:pt idx="3">
                  <c:v>ZFP Palmaseca</c:v>
                </c:pt>
                <c:pt idx="4">
                  <c:v>ZFP Cartagena</c:v>
                </c:pt>
                <c:pt idx="5">
                  <c:v>ZFP la Cayena</c:v>
                </c:pt>
                <c:pt idx="6">
                  <c:v>ZFP Pacífico</c:v>
                </c:pt>
                <c:pt idx="7">
                  <c:v>ZFP Bogotá</c:v>
                </c:pt>
                <c:pt idx="8">
                  <c:v>ZFP Candelaria</c:v>
                </c:pt>
                <c:pt idx="9">
                  <c:v>ZFP Parque Central</c:v>
                </c:pt>
              </c:strCache>
            </c:strRef>
          </c:cat>
          <c:val>
            <c:numRef>
              <c:f>'AÑO CORRIDO'!$C$12:$C$21</c:f>
              <c:numCache>
                <c:formatCode>#,##0</c:formatCode>
                <c:ptCount val="10"/>
                <c:pt idx="0">
                  <c:v>83651.707419999992</c:v>
                </c:pt>
                <c:pt idx="1">
                  <c:v>43452.594720000001</c:v>
                </c:pt>
                <c:pt idx="2">
                  <c:v>36514.059129999994</c:v>
                </c:pt>
                <c:pt idx="3">
                  <c:v>36470.754709999994</c:v>
                </c:pt>
                <c:pt idx="4">
                  <c:v>27905.107340000002</c:v>
                </c:pt>
                <c:pt idx="5">
                  <c:v>24715.872160000003</c:v>
                </c:pt>
                <c:pt idx="6">
                  <c:v>24274.367052004993</c:v>
                </c:pt>
                <c:pt idx="7">
                  <c:v>23627.655830000003</c:v>
                </c:pt>
                <c:pt idx="8">
                  <c:v>17874.18866</c:v>
                </c:pt>
                <c:pt idx="9">
                  <c:v>13040.030859999993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10-4649-A16E-2A269AC6A5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29891664"/>
        <c:axId val="429898736"/>
      </c:barChart>
      <c:catAx>
        <c:axId val="429891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98736"/>
        <c:crosses val="autoZero"/>
        <c:auto val="1"/>
        <c:lblAlgn val="ctr"/>
        <c:lblOffset val="100"/>
        <c:noMultiLvlLbl val="0"/>
      </c:catAx>
      <c:valAx>
        <c:axId val="42989873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42989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 DE PRODUCTOSM IMPO MES'!$E$3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PRODUCTOSM IMPO MES'!$B$4:$B$7</c:f>
              <c:strCache>
                <c:ptCount val="4"/>
                <c:pt idx="0">
                  <c:v>Aparatos electricos</c:v>
                </c:pt>
                <c:pt idx="1">
                  <c:v>Otros productos y manufacturas de metales comunes</c:v>
                </c:pt>
                <c:pt idx="2">
                  <c:v>Productos de plástico y sus manufacturas; caucho y sus manufacturas </c:v>
                </c:pt>
                <c:pt idx="3">
                  <c:v>Manufacturas de pieles y cuero</c:v>
                </c:pt>
              </c:strCache>
            </c:strRef>
          </c:cat>
          <c:val>
            <c:numRef>
              <c:f>'PB DE PRODUCTOSM IMPO MES'!$E$4:$E$7</c:f>
              <c:numCache>
                <c:formatCode>0.0%</c:formatCode>
                <c:ptCount val="4"/>
                <c:pt idx="0">
                  <c:v>0.10540351598457234</c:v>
                </c:pt>
                <c:pt idx="1">
                  <c:v>5.5423396547261888E-2</c:v>
                </c:pt>
                <c:pt idx="2">
                  <c:v>3.1112225047584902E-2</c:v>
                </c:pt>
                <c:pt idx="3">
                  <c:v>4.1064373181335103E-5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B1-4837-89B4-9AFB3397D23C}"/>
            </c:ext>
          </c:extLst>
        </c:ser>
        <c:ser>
          <c:idx val="1"/>
          <c:order val="1"/>
          <c:tx>
            <c:strRef>
              <c:f>'PB DE PRODUCTOSM IMPO MES'!$F$3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PRODUCTOSM IMPO MES'!$B$4:$B$7</c:f>
              <c:strCache>
                <c:ptCount val="4"/>
                <c:pt idx="0">
                  <c:v>Aparatos electricos</c:v>
                </c:pt>
                <c:pt idx="1">
                  <c:v>Otros productos y manufacturas de metales comunes</c:v>
                </c:pt>
                <c:pt idx="2">
                  <c:v>Productos de plástico y sus manufacturas; caucho y sus manufacturas </c:v>
                </c:pt>
                <c:pt idx="3">
                  <c:v>Manufacturas de pieles y cuero</c:v>
                </c:pt>
              </c:strCache>
            </c:strRef>
          </c:cat>
          <c:val>
            <c:numRef>
              <c:f>'PB DE PRODUCTOSM IMPO MES'!$F$4:$F$7</c:f>
              <c:numCache>
                <c:formatCode>0.0%</c:formatCode>
                <c:ptCount val="4"/>
                <c:pt idx="0">
                  <c:v>0.1184861874498573</c:v>
                </c:pt>
                <c:pt idx="1">
                  <c:v>5.4180331674139111E-2</c:v>
                </c:pt>
                <c:pt idx="2">
                  <c:v>3.993650539736366E-2</c:v>
                </c:pt>
                <c:pt idx="3">
                  <c:v>1.1099494132732982E-4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B1-4837-89B4-9AFB3397D2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9"/>
        <c:axId val="429893296"/>
        <c:axId val="429896016"/>
      </c:barChart>
      <c:catAx>
        <c:axId val="42989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96016"/>
        <c:crosses val="autoZero"/>
        <c:auto val="1"/>
        <c:lblAlgn val="ctr"/>
        <c:lblOffset val="100"/>
        <c:noMultiLvlLbl val="0"/>
      </c:catAx>
      <c:valAx>
        <c:axId val="4298960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8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 DE PRODUCTOSM IMPO PERIODO'!$E$3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PRODUCTOSM IMPO PERIODO'!$B$4:$B$7</c:f>
              <c:strCache>
                <c:ptCount val="4"/>
                <c:pt idx="0">
                  <c:v>Aparatos electricos</c:v>
                </c:pt>
                <c:pt idx="1">
                  <c:v>Otros productos de las industrias químicas o de las industrias conexas</c:v>
                </c:pt>
                <c:pt idx="2">
                  <c:v>Productos de plástico y sus manufacturas; caucho y sus manufacturas </c:v>
                </c:pt>
                <c:pt idx="3">
                  <c:v>Manufacturas de pieles y cuero</c:v>
                </c:pt>
              </c:strCache>
            </c:strRef>
          </c:cat>
          <c:val>
            <c:numRef>
              <c:f>'PB DE PRODUCTOSM IMPO PERIODO'!$E$4:$E$7</c:f>
              <c:numCache>
                <c:formatCode>0.0%</c:formatCode>
                <c:ptCount val="4"/>
                <c:pt idx="0">
                  <c:v>0.34064334252225476</c:v>
                </c:pt>
                <c:pt idx="1">
                  <c:v>0.1533076738710418</c:v>
                </c:pt>
                <c:pt idx="2">
                  <c:v>9.0325424424888168E-2</c:v>
                </c:pt>
                <c:pt idx="3">
                  <c:v>1.2425751332763142E-4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EE-4708-8336-AEE7C3A22E0B}"/>
            </c:ext>
          </c:extLst>
        </c:ser>
        <c:ser>
          <c:idx val="1"/>
          <c:order val="1"/>
          <c:tx>
            <c:strRef>
              <c:f>'PB DE PRODUCTOSM IMPO PERIODO'!$F$3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PRODUCTOSM IMPO PERIODO'!$B$4:$B$7</c:f>
              <c:strCache>
                <c:ptCount val="4"/>
                <c:pt idx="0">
                  <c:v>Aparatos electricos</c:v>
                </c:pt>
                <c:pt idx="1">
                  <c:v>Otros productos de las industrias químicas o de las industrias conexas</c:v>
                </c:pt>
                <c:pt idx="2">
                  <c:v>Productos de plástico y sus manufacturas; caucho y sus manufacturas </c:v>
                </c:pt>
                <c:pt idx="3">
                  <c:v>Manufacturas de pieles y cuero</c:v>
                </c:pt>
              </c:strCache>
            </c:strRef>
          </c:cat>
          <c:val>
            <c:numRef>
              <c:f>'PB DE PRODUCTOSM IMPO PERIODO'!$F$4:$F$7</c:f>
              <c:numCache>
                <c:formatCode>0.0%</c:formatCode>
                <c:ptCount val="4"/>
                <c:pt idx="0">
                  <c:v>0.34285203287114346</c:v>
                </c:pt>
                <c:pt idx="1">
                  <c:v>0.12530942433867448</c:v>
                </c:pt>
                <c:pt idx="2">
                  <c:v>7.0103750448790525E-2</c:v>
                </c:pt>
                <c:pt idx="3">
                  <c:v>1.0847092371050852E-4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EE-4708-8336-AEE7C3A22E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9"/>
        <c:axId val="87176144"/>
        <c:axId val="64089776"/>
      </c:barChart>
      <c:catAx>
        <c:axId val="8717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64089776"/>
        <c:crosses val="autoZero"/>
        <c:auto val="1"/>
        <c:lblAlgn val="ctr"/>
        <c:lblOffset val="100"/>
        <c:noMultiLvlLbl val="0"/>
      </c:catAx>
      <c:valAx>
        <c:axId val="640897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717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'BALANZA COMERCIAL HISTORICA'!$N$1</c:f>
              <c:strCache>
                <c:ptCount val="1"/>
                <c:pt idx="0">
                  <c:v>Ratio Exportaciones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765247464872269E-2"/>
                  <c:y val="5.684966462525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F22-4F2D-915B-974DC5CDB0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F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0"/>
                  <c:y val="2.0303422689513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'BALANZA COMERCIAL HISTORICA'!$A$2:$A$51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'BALANZA COMERCIAL HISTORICA'!$N$2:$N$51</c:f>
              <c:numCache>
                <c:formatCode>0.00%</c:formatCode>
                <c:ptCount val="50"/>
                <c:pt idx="0">
                  <c:v>4.1273716019310715E-2</c:v>
                </c:pt>
                <c:pt idx="1">
                  <c:v>6.6262641070771941E-2</c:v>
                </c:pt>
                <c:pt idx="2">
                  <c:v>5.1905380402913585E-2</c:v>
                </c:pt>
                <c:pt idx="3">
                  <c:v>6.525128390216238E-2</c:v>
                </c:pt>
                <c:pt idx="4">
                  <c:v>4.9949004014972286E-2</c:v>
                </c:pt>
                <c:pt idx="5">
                  <c:v>6.7583190966980899E-2</c:v>
                </c:pt>
                <c:pt idx="6">
                  <c:v>6.092133459236667E-2</c:v>
                </c:pt>
                <c:pt idx="7">
                  <c:v>6.0277088662929329E-2</c:v>
                </c:pt>
                <c:pt idx="8">
                  <c:v>8.1111840238376864E-2</c:v>
                </c:pt>
                <c:pt idx="9">
                  <c:v>8.4678474986184693E-2</c:v>
                </c:pt>
                <c:pt idx="10">
                  <c:v>8.2643523445372777E-2</c:v>
                </c:pt>
                <c:pt idx="11">
                  <c:v>7.5335304827563565E-2</c:v>
                </c:pt>
                <c:pt idx="12">
                  <c:v>6.5059997704410774E-2</c:v>
                </c:pt>
                <c:pt idx="13">
                  <c:v>7.0760346069067254E-2</c:v>
                </c:pt>
                <c:pt idx="14">
                  <c:v>6.2759625914723491E-2</c:v>
                </c:pt>
                <c:pt idx="15">
                  <c:v>8.7211632486474872E-2</c:v>
                </c:pt>
                <c:pt idx="16">
                  <c:v>6.8946097783783869E-2</c:v>
                </c:pt>
                <c:pt idx="17">
                  <c:v>6.4755105804926216E-2</c:v>
                </c:pt>
                <c:pt idx="18">
                  <c:v>8.4502198065219761E-2</c:v>
                </c:pt>
                <c:pt idx="19">
                  <c:v>8.1981533312751223E-2</c:v>
                </c:pt>
                <c:pt idx="20">
                  <c:v>8.2131351454495502E-2</c:v>
                </c:pt>
                <c:pt idx="21">
                  <c:v>7.9595129906785675E-2</c:v>
                </c:pt>
                <c:pt idx="22">
                  <c:v>6.6922377357855098E-2</c:v>
                </c:pt>
                <c:pt idx="23">
                  <c:v>7.9730307161642311E-2</c:v>
                </c:pt>
                <c:pt idx="24">
                  <c:v>6.2558212880504616E-2</c:v>
                </c:pt>
                <c:pt idx="25">
                  <c:v>7.509150373114698E-2</c:v>
                </c:pt>
                <c:pt idx="26">
                  <c:v>7.8191419347224303E-2</c:v>
                </c:pt>
                <c:pt idx="27">
                  <c:v>6.9992730543774709E-2</c:v>
                </c:pt>
                <c:pt idx="28">
                  <c:v>6.9815493419237332E-2</c:v>
                </c:pt>
                <c:pt idx="29">
                  <c:v>8.7550267658602854E-2</c:v>
                </c:pt>
                <c:pt idx="30">
                  <c:v>7.3020250701618342E-2</c:v>
                </c:pt>
                <c:pt idx="31">
                  <c:v>7.9954961299891214E-2</c:v>
                </c:pt>
                <c:pt idx="32">
                  <c:v>8.923105680578651E-2</c:v>
                </c:pt>
                <c:pt idx="33">
                  <c:v>8.2252241890661673E-2</c:v>
                </c:pt>
                <c:pt idx="34">
                  <c:v>7.2272235304741111E-2</c:v>
                </c:pt>
                <c:pt idx="35">
                  <c:v>8.0187759386120563E-2</c:v>
                </c:pt>
                <c:pt idx="36">
                  <c:v>7.5592534122485067E-2</c:v>
                </c:pt>
                <c:pt idx="37">
                  <c:v>7.0767964667464864E-2</c:v>
                </c:pt>
                <c:pt idx="38">
                  <c:v>7.3905211280541505E-2</c:v>
                </c:pt>
                <c:pt idx="39">
                  <c:v>5.8058547840810035E-2</c:v>
                </c:pt>
                <c:pt idx="40">
                  <c:v>8.2375505347083433E-2</c:v>
                </c:pt>
                <c:pt idx="41">
                  <c:v>6.9785075245899136E-2</c:v>
                </c:pt>
                <c:pt idx="42">
                  <c:v>7.7637682240691383E-2</c:v>
                </c:pt>
                <c:pt idx="43">
                  <c:v>6.3611034257577428E-2</c:v>
                </c:pt>
                <c:pt idx="44">
                  <c:v>6.1598650550262812E-2</c:v>
                </c:pt>
                <c:pt idx="45">
                  <c:v>4.3530349282170644E-2</c:v>
                </c:pt>
                <c:pt idx="46">
                  <c:v>7.0068481747166955E-2</c:v>
                </c:pt>
                <c:pt idx="47">
                  <c:v>5.1129772030255191E-2</c:v>
                </c:pt>
                <c:pt idx="48">
                  <c:v>3.6714987855807575E-2</c:v>
                </c:pt>
                <c:pt idx="49">
                  <c:v>3.4793855336354026E-2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7F22-4F2D-915B-974DC5CDB069}"/>
            </c:ext>
          </c:extLst>
        </c:ser>
        <c:ser>
          <c:idx val="1"/>
          <c:order val="1"/>
          <c:tx>
            <c:strRef>
              <c:f>'BALANZA COMERCIAL HISTORICA'!$O$1</c:f>
              <c:strCache>
                <c:ptCount val="1"/>
                <c:pt idx="0">
                  <c:v>Ratio Importaciones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869349664625255E-2"/>
                  <c:y val="-1.16784644343699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7F22-4F2D-915B-974DC5CDB0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D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E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F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2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3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4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5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6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7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8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9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A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B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C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1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0-7F22-4F2D-915B-974DC5CDB069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0"/>
                  <c:y val="5.5783287866025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s-CO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'BALANZA COMERCIAL HISTORICA'!$A$2:$A$51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'BALANZA COMERCIAL HISTORICA'!$O$2:$O$51</c:f>
              <c:numCache>
                <c:formatCode>0.00%</c:formatCode>
                <c:ptCount val="50"/>
                <c:pt idx="0">
                  <c:v>4.4717954418621392E-2</c:v>
                </c:pt>
                <c:pt idx="1">
                  <c:v>3.7575732962662589E-2</c:v>
                </c:pt>
                <c:pt idx="2">
                  <c:v>3.9063338399220007E-2</c:v>
                </c:pt>
                <c:pt idx="3">
                  <c:v>3.585079569851482E-2</c:v>
                </c:pt>
                <c:pt idx="4">
                  <c:v>2.9363644752329755E-2</c:v>
                </c:pt>
                <c:pt idx="5">
                  <c:v>2.8938352953309338E-2</c:v>
                </c:pt>
                <c:pt idx="6">
                  <c:v>3.1429318981750491E-2</c:v>
                </c:pt>
                <c:pt idx="7">
                  <c:v>2.5271093119481669E-2</c:v>
                </c:pt>
                <c:pt idx="8">
                  <c:v>3.3815016824027412E-2</c:v>
                </c:pt>
                <c:pt idx="9">
                  <c:v>3.3316688495556787E-2</c:v>
                </c:pt>
                <c:pt idx="10">
                  <c:v>4.1276622324955103E-2</c:v>
                </c:pt>
                <c:pt idx="11">
                  <c:v>3.3437092320499802E-2</c:v>
                </c:pt>
                <c:pt idx="12">
                  <c:v>3.2497992547678031E-2</c:v>
                </c:pt>
                <c:pt idx="13">
                  <c:v>3.3749314956134729E-2</c:v>
                </c:pt>
                <c:pt idx="14">
                  <c:v>2.5003904837345322E-2</c:v>
                </c:pt>
                <c:pt idx="15">
                  <c:v>3.2822429439603416E-2</c:v>
                </c:pt>
                <c:pt idx="16">
                  <c:v>2.9613415820559943E-2</c:v>
                </c:pt>
                <c:pt idx="17">
                  <c:v>3.2184927727141197E-2</c:v>
                </c:pt>
                <c:pt idx="18">
                  <c:v>2.05600003525655E-2</c:v>
                </c:pt>
                <c:pt idx="19">
                  <c:v>2.4885875851805118E-2</c:v>
                </c:pt>
                <c:pt idx="20">
                  <c:v>2.4048055338395494E-2</c:v>
                </c:pt>
                <c:pt idx="21">
                  <c:v>2.18604702749505E-2</c:v>
                </c:pt>
                <c:pt idx="22">
                  <c:v>1.7906345957200826E-2</c:v>
                </c:pt>
                <c:pt idx="23">
                  <c:v>1.9218282552719481E-2</c:v>
                </c:pt>
                <c:pt idx="24">
                  <c:v>2.2174718721974372E-2</c:v>
                </c:pt>
                <c:pt idx="25">
                  <c:v>2.7794563038913332E-2</c:v>
                </c:pt>
                <c:pt idx="26">
                  <c:v>3.3059219963736834E-2</c:v>
                </c:pt>
                <c:pt idx="27">
                  <c:v>2.3240814786730606E-2</c:v>
                </c:pt>
                <c:pt idx="28">
                  <c:v>2.9213018914949644E-2</c:v>
                </c:pt>
                <c:pt idx="29">
                  <c:v>1.9516682959240955E-2</c:v>
                </c:pt>
                <c:pt idx="30">
                  <c:v>1.8240285485240273E-2</c:v>
                </c:pt>
                <c:pt idx="31">
                  <c:v>2.1385214934531188E-2</c:v>
                </c:pt>
                <c:pt idx="32">
                  <c:v>2.2603245324750696E-2</c:v>
                </c:pt>
                <c:pt idx="33">
                  <c:v>2.1507441117714583E-2</c:v>
                </c:pt>
                <c:pt idx="34">
                  <c:v>2.0935910734674285E-2</c:v>
                </c:pt>
                <c:pt idx="35">
                  <c:v>2.7411280267086939E-2</c:v>
                </c:pt>
                <c:pt idx="36">
                  <c:v>3.2108236877356283E-2</c:v>
                </c:pt>
                <c:pt idx="37">
                  <c:v>2.8658244957510057E-2</c:v>
                </c:pt>
                <c:pt idx="38">
                  <c:v>3.0989645993150319E-2</c:v>
                </c:pt>
                <c:pt idx="39">
                  <c:v>3.2080066776380145E-2</c:v>
                </c:pt>
                <c:pt idx="40">
                  <c:v>1.2110681882721594E-2</c:v>
                </c:pt>
                <c:pt idx="41">
                  <c:v>3.1385154571916929E-2</c:v>
                </c:pt>
                <c:pt idx="42">
                  <c:v>2.6493599469351498E-2</c:v>
                </c:pt>
                <c:pt idx="43">
                  <c:v>3.7107338313055786E-2</c:v>
                </c:pt>
                <c:pt idx="44">
                  <c:v>2.1693171499629592E-2</c:v>
                </c:pt>
                <c:pt idx="45">
                  <c:v>2.0545266789153714E-2</c:v>
                </c:pt>
                <c:pt idx="46">
                  <c:v>2.3419401237562237E-2</c:v>
                </c:pt>
                <c:pt idx="47">
                  <c:v>3.1311575040256438E-2</c:v>
                </c:pt>
                <c:pt idx="48">
                  <c:v>2.2918275572826472E-2</c:v>
                </c:pt>
                <c:pt idx="49">
                  <c:v>2.8203170780219562E-2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D-7F22-4F2D-915B-974DC5CD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749248"/>
        <c:axId val="481752512"/>
      </c:lineChart>
      <c:dateAx>
        <c:axId val="481749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81752512"/>
        <c:crosses val="autoZero"/>
        <c:auto val="1"/>
        <c:lblOffset val="100"/>
        <c:baseTimeUnit val="months"/>
      </c:dateAx>
      <c:valAx>
        <c:axId val="4817525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8174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'MOVIMIENTOS RESPECTO AL PIB'!$A$5</c:f>
              <c:strCache>
                <c:ptCount val="1"/>
                <c:pt idx="0">
                  <c:v>Salidas ZF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'MOVIMIENTOS RESPECTO AL PIB'!$B$3:$C$4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'MOVIMIENTOS RESPECTO AL PIB'!$E$5:$F$5</c:f>
              <c:numCache>
                <c:formatCode>0.0%</c:formatCode>
                <c:ptCount val="2"/>
                <c:pt idx="0">
                  <c:v>8.734084943390899E-2</c:v>
                </c:pt>
                <c:pt idx="1">
                  <c:v>9.5212722370941499E-2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DB-414D-950E-6ECE636C4BCB}"/>
            </c:ext>
          </c:extLst>
        </c:ser>
        <c:ser>
          <c:idx val="1"/>
          <c:order val="1"/>
          <c:tx>
            <c:strRef>
              <c:f>'MOVIMIENTOS RESPECTO AL PIB'!$A$6</c:f>
              <c:strCache>
                <c:ptCount val="1"/>
                <c:pt idx="0">
                  <c:v>Ingresos ZF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'MOVIMIENTOS RESPECTO AL PIB'!$B$3:$C$4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'MOVIMIENTOS RESPECTO AL PIB'!$E$6:$F$6</c:f>
              <c:numCache>
                <c:formatCode>0.0%</c:formatCode>
                <c:ptCount val="2"/>
                <c:pt idx="0">
                  <c:v>8.1887047958851308E-2</c:v>
                </c:pt>
                <c:pt idx="1">
                  <c:v>9.6230405804136859E-2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DB-414D-950E-6ECE636C4B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1761216"/>
        <c:axId val="481758496"/>
      </c:barChart>
      <c:catAx>
        <c:axId val="48176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1758496"/>
        <c:crosses val="autoZero"/>
        <c:auto val="1"/>
        <c:lblAlgn val="ctr"/>
        <c:lblOffset val="100"/>
        <c:noMultiLvlLbl val="0"/>
      </c:catAx>
      <c:valAx>
        <c:axId val="48175849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Participación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crossAx val="48176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18175853018375"/>
          <c:y val="4.0442334048106474E-2"/>
          <c:w val="0.62846628578912045"/>
          <c:h val="0.907740925452757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163892749853799E-16"/>
                  <c:y val="2.5200396825396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602-4348-A1C7-D02F538FB5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DESTINOS!$B$3:$B$22</c:f>
              <c:strCache>
                <c:ptCount val="20"/>
                <c:pt idx="0">
                  <c:v>Estados Unidos</c:v>
                </c:pt>
                <c:pt idx="1">
                  <c:v>Singapur</c:v>
                </c:pt>
                <c:pt idx="2">
                  <c:v>Ecuador</c:v>
                </c:pt>
                <c:pt idx="3">
                  <c:v>Brasil</c:v>
                </c:pt>
                <c:pt idx="4">
                  <c:v>Arabia Saudita</c:v>
                </c:pt>
                <c:pt idx="5">
                  <c:v>China</c:v>
                </c:pt>
                <c:pt idx="6">
                  <c:v>México</c:v>
                </c:pt>
                <c:pt idx="7">
                  <c:v>Venezuela</c:v>
                </c:pt>
                <c:pt idx="8">
                  <c:v>Perú</c:v>
                </c:pt>
                <c:pt idx="9">
                  <c:v>India</c:v>
                </c:pt>
                <c:pt idx="10">
                  <c:v>República Dominicana</c:v>
                </c:pt>
                <c:pt idx="11">
                  <c:v>Italia</c:v>
                </c:pt>
                <c:pt idx="12">
                  <c:v>Chile</c:v>
                </c:pt>
                <c:pt idx="13">
                  <c:v>Panamá</c:v>
                </c:pt>
                <c:pt idx="14">
                  <c:v>Puerto Rico</c:v>
                </c:pt>
                <c:pt idx="15">
                  <c:v>Canadá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Argentina</c:v>
                </c:pt>
              </c:strCache>
            </c:strRef>
          </c:cat>
          <c:val>
            <c:numRef>
              <c:f>DESTINOS!$C$3:$C$22</c:f>
              <c:numCache>
                <c:formatCode>_-* #,##0_-;\-* #,##0_-;_-* "-"_-;_-@_-</c:formatCode>
                <c:ptCount val="20"/>
                <c:pt idx="0">
                  <c:v>93724.947345693989</c:v>
                </c:pt>
                <c:pt idx="1">
                  <c:v>18391.994510000004</c:v>
                </c:pt>
                <c:pt idx="2">
                  <c:v>17531.915167792999</c:v>
                </c:pt>
                <c:pt idx="3">
                  <c:v>10993.141147995</c:v>
                </c:pt>
                <c:pt idx="4">
                  <c:v>9177.6406400000033</c:v>
                </c:pt>
                <c:pt idx="5">
                  <c:v>8508.4249899999977</c:v>
                </c:pt>
                <c:pt idx="6">
                  <c:v>7932.5454059819986</c:v>
                </c:pt>
                <c:pt idx="7">
                  <c:v>5675.5097495320006</c:v>
                </c:pt>
                <c:pt idx="8">
                  <c:v>5267.2865923340014</c:v>
                </c:pt>
                <c:pt idx="9">
                  <c:v>5265.54241</c:v>
                </c:pt>
                <c:pt idx="10">
                  <c:v>4131.7529914289989</c:v>
                </c:pt>
                <c:pt idx="11">
                  <c:v>4091.9924500350007</c:v>
                </c:pt>
                <c:pt idx="12">
                  <c:v>4033.0370385599999</c:v>
                </c:pt>
                <c:pt idx="13">
                  <c:v>3977.9244534010008</c:v>
                </c:pt>
                <c:pt idx="14">
                  <c:v>3839.6736599999995</c:v>
                </c:pt>
                <c:pt idx="15">
                  <c:v>2519.1636219999996</c:v>
                </c:pt>
                <c:pt idx="16">
                  <c:v>1781.69901</c:v>
                </c:pt>
                <c:pt idx="17">
                  <c:v>1695.3465300140003</c:v>
                </c:pt>
                <c:pt idx="18">
                  <c:v>1658.3345299999999</c:v>
                </c:pt>
                <c:pt idx="19">
                  <c:v>1213.0706459999999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02-4348-A1C7-D02F538F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29897104"/>
        <c:axId val="429897648"/>
      </c:barChart>
      <c:catAx>
        <c:axId val="4298971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97648"/>
        <c:crosses val="autoZero"/>
        <c:auto val="1"/>
        <c:lblAlgn val="ctr"/>
        <c:lblOffset val="100"/>
        <c:noMultiLvlLbl val="0"/>
      </c:catAx>
      <c:valAx>
        <c:axId val="429897648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/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0.47081299212598438"/>
              <c:y val="0.9431279677448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_-;_-@_-" sourceLinked="1"/>
        <c:majorTickMark val="none"/>
        <c:minorTickMark val="none"/>
        <c:tickLblPos val="nextTo"/>
        <c:crossAx val="42989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18175853018375"/>
          <c:y val="4.0442334048106474E-2"/>
          <c:w val="0.63612933333333332"/>
          <c:h val="0.907740925452757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DESTINOS!$G$3:$G$22</c:f>
              <c:strCache>
                <c:ptCount val="20"/>
                <c:pt idx="0">
                  <c:v>Estados Unidos</c:v>
                </c:pt>
                <c:pt idx="1">
                  <c:v>Ecuador</c:v>
                </c:pt>
                <c:pt idx="2">
                  <c:v>India</c:v>
                </c:pt>
                <c:pt idx="3">
                  <c:v>México</c:v>
                </c:pt>
                <c:pt idx="4">
                  <c:v>Perú</c:v>
                </c:pt>
                <c:pt idx="5">
                  <c:v>Singapur</c:v>
                </c:pt>
                <c:pt idx="6">
                  <c:v>China</c:v>
                </c:pt>
                <c:pt idx="7">
                  <c:v>Brasil</c:v>
                </c:pt>
                <c:pt idx="8">
                  <c:v>Países Bajos</c:v>
                </c:pt>
                <c:pt idx="9">
                  <c:v>Chile</c:v>
                </c:pt>
                <c:pt idx="10">
                  <c:v>Venezuela</c:v>
                </c:pt>
                <c:pt idx="11">
                  <c:v>Italia</c:v>
                </c:pt>
                <c:pt idx="12">
                  <c:v>República Dominicana</c:v>
                </c:pt>
                <c:pt idx="13">
                  <c:v>Panamá</c:v>
                </c:pt>
                <c:pt idx="14">
                  <c:v>Arabia Saudita</c:v>
                </c:pt>
                <c:pt idx="15">
                  <c:v>Puerto Rico</c:v>
                </c:pt>
                <c:pt idx="16">
                  <c:v>Canadá</c:v>
                </c:pt>
                <c:pt idx="17">
                  <c:v>España</c:v>
                </c:pt>
                <c:pt idx="18">
                  <c:v>Argentina</c:v>
                </c:pt>
                <c:pt idx="19">
                  <c:v>Bolivia</c:v>
                </c:pt>
              </c:strCache>
            </c:strRef>
          </c:cat>
          <c:val>
            <c:numRef>
              <c:f>DESTINOS!$H$3:$H$22</c:f>
              <c:numCache>
                <c:formatCode>_-* #,##0_-;\-* #,##0_-;_-* "-"_-;_-@_-</c:formatCode>
                <c:ptCount val="20"/>
                <c:pt idx="0">
                  <c:v>192967.44720852704</c:v>
                </c:pt>
                <c:pt idx="1">
                  <c:v>45085.587935187992</c:v>
                </c:pt>
                <c:pt idx="2">
                  <c:v>24635.316689999996</c:v>
                </c:pt>
                <c:pt idx="3">
                  <c:v>21314.109903655997</c:v>
                </c:pt>
                <c:pt idx="4">
                  <c:v>19500.775571410999</c:v>
                </c:pt>
                <c:pt idx="5">
                  <c:v>18395.503110000005</c:v>
                </c:pt>
                <c:pt idx="6">
                  <c:v>17695.271040129996</c:v>
                </c:pt>
                <c:pt idx="7">
                  <c:v>16958.103507966</c:v>
                </c:pt>
                <c:pt idx="8">
                  <c:v>15353.214370002997</c:v>
                </c:pt>
                <c:pt idx="9">
                  <c:v>14727.174512222</c:v>
                </c:pt>
                <c:pt idx="10">
                  <c:v>13937.089557334</c:v>
                </c:pt>
                <c:pt idx="11">
                  <c:v>11997.143440024</c:v>
                </c:pt>
                <c:pt idx="12">
                  <c:v>11204.655483805</c:v>
                </c:pt>
                <c:pt idx="13">
                  <c:v>10174.569737007001</c:v>
                </c:pt>
                <c:pt idx="14">
                  <c:v>9816.8719200000014</c:v>
                </c:pt>
                <c:pt idx="15">
                  <c:v>9415.0640019999973</c:v>
                </c:pt>
                <c:pt idx="16">
                  <c:v>4883.5284039999988</c:v>
                </c:pt>
                <c:pt idx="17">
                  <c:v>4370.3937800380008</c:v>
                </c:pt>
                <c:pt idx="18">
                  <c:v>2699.7371059999996</c:v>
                </c:pt>
                <c:pt idx="19">
                  <c:v>2255.883910005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AB-4DBD-8B51-82DA7893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29893840"/>
        <c:axId val="429903632"/>
      </c:barChart>
      <c:catAx>
        <c:axId val="429893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903632"/>
        <c:crosses val="autoZero"/>
        <c:auto val="1"/>
        <c:lblAlgn val="ctr"/>
        <c:lblOffset val="100"/>
        <c:noMultiLvlLbl val="0"/>
      </c:catAx>
      <c:valAx>
        <c:axId val="429903632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/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0.47081299212598438"/>
              <c:y val="0.9431279677448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_-;_-@_-" sourceLinked="1"/>
        <c:majorTickMark val="none"/>
        <c:minorTickMark val="none"/>
        <c:tickLblPos val="nextTo"/>
        <c:crossAx val="42989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04555555555555"/>
          <c:y val="4.1577380952380949E-2"/>
          <c:w val="0.73679888888888889"/>
          <c:h val="0.9080257936507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solidFill>
                <a:srgbClr val="0099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ORIGENES!$B$3:$B$22</c:f>
              <c:strCache>
                <c:ptCount val="20"/>
                <c:pt idx="0">
                  <c:v>Estados Unidos</c:v>
                </c:pt>
                <c:pt idx="1">
                  <c:v>China</c:v>
                </c:pt>
                <c:pt idx="2">
                  <c:v>Alemania</c:v>
                </c:pt>
                <c:pt idx="3">
                  <c:v>India</c:v>
                </c:pt>
                <c:pt idx="4">
                  <c:v>Italia</c:v>
                </c:pt>
                <c:pt idx="5">
                  <c:v>España</c:v>
                </c:pt>
                <c:pt idx="6">
                  <c:v>Brasil</c:v>
                </c:pt>
                <c:pt idx="7">
                  <c:v>Francia</c:v>
                </c:pt>
                <c:pt idx="8">
                  <c:v>Países Bajos</c:v>
                </c:pt>
                <c:pt idx="9">
                  <c:v>Rusia</c:v>
                </c:pt>
                <c:pt idx="10">
                  <c:v>Canadá</c:v>
                </c:pt>
                <c:pt idx="11">
                  <c:v>México</c:v>
                </c:pt>
                <c:pt idx="12">
                  <c:v>República Checa</c:v>
                </c:pt>
                <c:pt idx="13">
                  <c:v>Tailandia</c:v>
                </c:pt>
                <c:pt idx="14">
                  <c:v>Chile</c:v>
                </c:pt>
                <c:pt idx="15">
                  <c:v>Suecia</c:v>
                </c:pt>
                <c:pt idx="16">
                  <c:v>Perú</c:v>
                </c:pt>
                <c:pt idx="17">
                  <c:v>Polonia</c:v>
                </c:pt>
                <c:pt idx="18">
                  <c:v>Ecuador</c:v>
                </c:pt>
                <c:pt idx="19">
                  <c:v>Paraguay</c:v>
                </c:pt>
              </c:strCache>
            </c:strRef>
          </c:cat>
          <c:val>
            <c:numRef>
              <c:f>ORIGENES!$C$3:$C$22</c:f>
              <c:numCache>
                <c:formatCode>_-* #,##0_-;\-* #,##0_-;_-* "-"_-;_-@_-</c:formatCode>
                <c:ptCount val="20"/>
                <c:pt idx="0">
                  <c:v>146540.50452000002</c:v>
                </c:pt>
                <c:pt idx="1">
                  <c:v>35973.249840000004</c:v>
                </c:pt>
                <c:pt idx="2">
                  <c:v>13931.720369999994</c:v>
                </c:pt>
                <c:pt idx="3">
                  <c:v>11106.20825</c:v>
                </c:pt>
                <c:pt idx="4">
                  <c:v>8646.3260100000007</c:v>
                </c:pt>
                <c:pt idx="5">
                  <c:v>6199.3405100000009</c:v>
                </c:pt>
                <c:pt idx="6">
                  <c:v>5029.9963899999984</c:v>
                </c:pt>
                <c:pt idx="7">
                  <c:v>4596.1120499999997</c:v>
                </c:pt>
                <c:pt idx="8">
                  <c:v>2588.9199299999991</c:v>
                </c:pt>
                <c:pt idx="9">
                  <c:v>2578.8084599999997</c:v>
                </c:pt>
                <c:pt idx="10">
                  <c:v>2220.8376899999998</c:v>
                </c:pt>
                <c:pt idx="11">
                  <c:v>2066.5974300000003</c:v>
                </c:pt>
                <c:pt idx="12">
                  <c:v>1890.2908</c:v>
                </c:pt>
                <c:pt idx="13">
                  <c:v>1233.5912599999999</c:v>
                </c:pt>
                <c:pt idx="14">
                  <c:v>1063.2702400000003</c:v>
                </c:pt>
                <c:pt idx="15">
                  <c:v>749.12363000000005</c:v>
                </c:pt>
                <c:pt idx="16">
                  <c:v>577.80151999999998</c:v>
                </c:pt>
                <c:pt idx="17">
                  <c:v>577.41003000000001</c:v>
                </c:pt>
                <c:pt idx="18">
                  <c:v>543.86225000000002</c:v>
                </c:pt>
                <c:pt idx="19">
                  <c:v>448.53194000000002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39-408C-BCD0-35A53E6B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29899824"/>
        <c:axId val="429902000"/>
      </c:barChart>
      <c:catAx>
        <c:axId val="42989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902000"/>
        <c:crosses val="autoZero"/>
        <c:auto val="1"/>
        <c:lblAlgn val="ctr"/>
        <c:lblOffset val="100"/>
        <c:noMultiLvlLbl val="0"/>
      </c:catAx>
      <c:valAx>
        <c:axId val="429902000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/>
                  <a:t>Miles de dólares CIF</a:t>
                </a:r>
              </a:p>
            </c:rich>
          </c:tx>
          <c:layout>
            <c:manualLayout>
              <c:xMode val="edge"/>
              <c:yMode val="edge"/>
              <c:x val="0.40483488888888891"/>
              <c:y val="0.942420634920634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_-;_-@_-" sourceLinked="1"/>
        <c:majorTickMark val="none"/>
        <c:minorTickMark val="none"/>
        <c:tickLblPos val="nextTo"/>
        <c:crossAx val="42989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09111111111104"/>
          <c:y val="3.7797619047619045E-2"/>
          <c:w val="0.5801088888888889"/>
          <c:h val="0.906249206349206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solidFill>
                <a:srgbClr val="0099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ORIGENES!$G$3:$G$22</c:f>
              <c:strCache>
                <c:ptCount val="20"/>
                <c:pt idx="0">
                  <c:v>Estados Unidos</c:v>
                </c:pt>
                <c:pt idx="1">
                  <c:v>China</c:v>
                </c:pt>
                <c:pt idx="2">
                  <c:v>India</c:v>
                </c:pt>
                <c:pt idx="3">
                  <c:v>Alemania</c:v>
                </c:pt>
                <c:pt idx="4">
                  <c:v>Italia</c:v>
                </c:pt>
                <c:pt idx="5">
                  <c:v>España</c:v>
                </c:pt>
                <c:pt idx="6">
                  <c:v>Brasil</c:v>
                </c:pt>
                <c:pt idx="7">
                  <c:v>Rusia</c:v>
                </c:pt>
                <c:pt idx="8">
                  <c:v>Francia</c:v>
                </c:pt>
                <c:pt idx="9">
                  <c:v>México</c:v>
                </c:pt>
                <c:pt idx="10">
                  <c:v>Países Bajos</c:v>
                </c:pt>
                <c:pt idx="11">
                  <c:v>Canadá</c:v>
                </c:pt>
                <c:pt idx="12">
                  <c:v>Chile</c:v>
                </c:pt>
                <c:pt idx="13">
                  <c:v>República Checa</c:v>
                </c:pt>
                <c:pt idx="14">
                  <c:v>Suecia</c:v>
                </c:pt>
                <c:pt idx="15">
                  <c:v>Ecuador</c:v>
                </c:pt>
                <c:pt idx="16">
                  <c:v>Tailandia</c:v>
                </c:pt>
                <c:pt idx="17">
                  <c:v>Polonia</c:v>
                </c:pt>
                <c:pt idx="18">
                  <c:v>Paraguay</c:v>
                </c:pt>
                <c:pt idx="19">
                  <c:v>Austria</c:v>
                </c:pt>
              </c:strCache>
            </c:strRef>
          </c:cat>
          <c:val>
            <c:numRef>
              <c:f>ORIGENES!$H$3:$H$22</c:f>
              <c:numCache>
                <c:formatCode>_-* #,##0_-;\-* #,##0_-;_-* "-"_-;_-@_-</c:formatCode>
                <c:ptCount val="20"/>
                <c:pt idx="0">
                  <c:v>268764.30331000005</c:v>
                </c:pt>
                <c:pt idx="1">
                  <c:v>95183.923789999972</c:v>
                </c:pt>
                <c:pt idx="2">
                  <c:v>37811.458120000003</c:v>
                </c:pt>
                <c:pt idx="3">
                  <c:v>28811.216189999996</c:v>
                </c:pt>
                <c:pt idx="4">
                  <c:v>17069.816930000001</c:v>
                </c:pt>
                <c:pt idx="5">
                  <c:v>14305.380720000003</c:v>
                </c:pt>
                <c:pt idx="6">
                  <c:v>10842.815789999999</c:v>
                </c:pt>
                <c:pt idx="7">
                  <c:v>9217.3875399999997</c:v>
                </c:pt>
                <c:pt idx="8">
                  <c:v>8963.6350899999998</c:v>
                </c:pt>
                <c:pt idx="9">
                  <c:v>8078.9865899999995</c:v>
                </c:pt>
                <c:pt idx="10">
                  <c:v>6133.3655099999996</c:v>
                </c:pt>
                <c:pt idx="11">
                  <c:v>3307.56333</c:v>
                </c:pt>
                <c:pt idx="12">
                  <c:v>2939.5386300000005</c:v>
                </c:pt>
                <c:pt idx="13">
                  <c:v>2372.0771800000002</c:v>
                </c:pt>
                <c:pt idx="14">
                  <c:v>2169.29223</c:v>
                </c:pt>
                <c:pt idx="15">
                  <c:v>1732.75323</c:v>
                </c:pt>
                <c:pt idx="16">
                  <c:v>1690.73028</c:v>
                </c:pt>
                <c:pt idx="17">
                  <c:v>1458.8130000000001</c:v>
                </c:pt>
                <c:pt idx="18">
                  <c:v>1131.6991</c:v>
                </c:pt>
                <c:pt idx="19">
                  <c:v>1007.0971399999999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10-4D4B-B569-F58D5A12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29899280"/>
        <c:axId val="429901456"/>
      </c:barChart>
      <c:catAx>
        <c:axId val="429899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901456"/>
        <c:crosses val="autoZero"/>
        <c:auto val="1"/>
        <c:lblAlgn val="ctr"/>
        <c:lblOffset val="100"/>
        <c:noMultiLvlLbl val="0"/>
      </c:catAx>
      <c:valAx>
        <c:axId val="42990145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/>
                  <a:t>Miles de dólares CIF</a:t>
                </a:r>
              </a:p>
            </c:rich>
          </c:tx>
          <c:layout>
            <c:manualLayout>
              <c:xMode val="edge"/>
              <c:yMode val="edge"/>
              <c:x val="0.44649111111111117"/>
              <c:y val="0.94746031746031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_-;_-@_-" sourceLinked="1"/>
        <c:majorTickMark val="none"/>
        <c:minorTickMark val="none"/>
        <c:tickLblPos val="nextTo"/>
        <c:crossAx val="42989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'SISTEMA AMPLIADO X'!$C$2</c:f>
              <c:strCache>
                <c:ptCount val="1"/>
                <c:pt idx="0">
                  <c:v>Exportaciones publicadas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'SISTEMA AMPLIADO X'!$A$6:$B$24</c:f>
              <c:multiLvlStrCache>
                <c:ptCount val="19"/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  <c:pt idx="8">
                    <c:v>2018</c:v>
                  </c:pt>
                  <c:pt idx="10">
                    <c:v>2019</c:v>
                  </c:pt>
                  <c:pt idx="12">
                    <c:v>2020</c:v>
                  </c:pt>
                  <c:pt idx="14">
                    <c:v>2021</c:v>
                  </c:pt>
                  <c:pt idx="16">
                    <c:v>2021</c:v>
                  </c:pt>
                  <c:pt idx="18">
                    <c:v>2022</c:v>
                  </c:pt>
                </c:lvl>
                <c:lvl>
                  <c:pt idx="16">
                    <c:v>Enero-febrero</c:v>
                  </c:pt>
                </c:lvl>
              </c:multiLvlStrCache>
            </c:multiLvlStrRef>
          </c:cat>
          <c:val>
            <c:numRef>
              <c:f>'SISTEMA AMPLIADO X'!$C$6:$C$24</c:f>
              <c:numCache>
                <c:formatCode>_ * #,##0.0_ ;_ * \-#,##0.0_ ;_ * "-"??_ ;_ @_ </c:formatCode>
                <c:ptCount val="19"/>
                <c:pt idx="0">
                  <c:v>54.856754566609929</c:v>
                </c:pt>
                <c:pt idx="2">
                  <c:v>36.017521665430365</c:v>
                </c:pt>
                <c:pt idx="4">
                  <c:v>31.768340981280129</c:v>
                </c:pt>
                <c:pt idx="6">
                  <c:v>38.021860310389755</c:v>
                </c:pt>
                <c:pt idx="8">
                  <c:v>41.904777398160896</c:v>
                </c:pt>
                <c:pt idx="10">
                  <c:v>39.489167864799988</c:v>
                </c:pt>
                <c:pt idx="12">
                  <c:v>31.055810659689989</c:v>
                </c:pt>
                <c:pt idx="14">
                  <c:v>41.387266172649987</c:v>
                </c:pt>
                <c:pt idx="16">
                  <c:v>5.54993053915</c:v>
                </c:pt>
                <c:pt idx="18">
                  <c:v>8.0039380769499999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01-466F-9847-C91E158EB329}"/>
            </c:ext>
          </c:extLst>
        </c:ser>
        <c:ser>
          <c:idx val="2"/>
          <c:order val="2"/>
          <c:tx>
            <c:strRef>
              <c:f>'SISTEMA AMPLIADO X'!$E$2</c:f>
              <c:strCache>
                <c:ptCount val="1"/>
                <c:pt idx="0">
                  <c:v>Exportaciones sistema comercial especial ampliado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Work Sans Light" panose="00000400000000000000" pitchFamily="2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3.7835826803880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Work Sans Light" panose="00000400000000000000" pitchFamily="2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'SISTEMA AMPLIADO X'!$A$6:$B$24</c:f>
              <c:multiLvlStrCache>
                <c:ptCount val="19"/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  <c:pt idx="8">
                    <c:v>2018</c:v>
                  </c:pt>
                  <c:pt idx="10">
                    <c:v>2019</c:v>
                  </c:pt>
                  <c:pt idx="12">
                    <c:v>2020</c:v>
                  </c:pt>
                  <c:pt idx="14">
                    <c:v>2021</c:v>
                  </c:pt>
                  <c:pt idx="16">
                    <c:v>2021</c:v>
                  </c:pt>
                  <c:pt idx="18">
                    <c:v>2022</c:v>
                  </c:pt>
                </c:lvl>
                <c:lvl>
                  <c:pt idx="16">
                    <c:v>Enero-febrero</c:v>
                  </c:pt>
                </c:lvl>
              </c:multiLvlStrCache>
            </c:multiLvlStrRef>
          </c:cat>
          <c:val>
            <c:numRef>
              <c:f>'SISTEMA AMPLIADO X'!$E$6:$E$24</c:f>
              <c:numCache>
                <c:formatCode>_ * #,##0.0_ ;_ * \-#,##0.0_ ;_ * "-"??_ ;_ @_ </c:formatCode>
                <c:ptCount val="19"/>
                <c:pt idx="0">
                  <c:v>56.300143796182397</c:v>
                </c:pt>
                <c:pt idx="2">
                  <c:v>37.796527895219363</c:v>
                </c:pt>
                <c:pt idx="4">
                  <c:v>33.172310532486783</c:v>
                </c:pt>
                <c:pt idx="6">
                  <c:v>38.653497317882675</c:v>
                </c:pt>
                <c:pt idx="8">
                  <c:v>42.656016887662624</c:v>
                </c:pt>
                <c:pt idx="10">
                  <c:v>40.271456113661138</c:v>
                </c:pt>
                <c:pt idx="12">
                  <c:v>31.747235498225074</c:v>
                </c:pt>
                <c:pt idx="14">
                  <c:v>42.304993422455844</c:v>
                </c:pt>
                <c:pt idx="16">
                  <c:v>5.6870690571675748</c:v>
                </c:pt>
                <c:pt idx="18">
                  <c:v>8.1657127361341111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01-466F-9847-C91E158EB32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29900368"/>
        <c:axId val="4299041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Work Sans Light" panose="00000400000000000000" pitchFamily="2" charset="0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'SISTEMA AMPLIADO X'!$A$6:$B$24</c15:sqref>
                        </c15:formulaRef>
                      </c:ext>
                    </c:extLst>
                    <c:multiLvlStrCache>
                      <c:ptCount val="19"/>
                      <c:lvl>
                        <c:pt idx="0">
                          <c:v>2014</c:v>
                        </c:pt>
                        <c:pt idx="2">
                          <c:v>2015</c:v>
                        </c:pt>
                        <c:pt idx="4">
                          <c:v>2016</c:v>
                        </c:pt>
                        <c:pt idx="6">
                          <c:v>2017</c:v>
                        </c:pt>
                        <c:pt idx="8">
                          <c:v>2018</c:v>
                        </c:pt>
                        <c:pt idx="10">
                          <c:v>2019</c:v>
                        </c:pt>
                        <c:pt idx="12">
                          <c:v>2020</c:v>
                        </c:pt>
                        <c:pt idx="14">
                          <c:v>2021</c:v>
                        </c:pt>
                        <c:pt idx="16">
                          <c:v>2021</c:v>
                        </c:pt>
                        <c:pt idx="18">
                          <c:v>2022</c:v>
                        </c:pt>
                      </c:lvl>
                      <c:lvl>
                        <c:pt idx="16">
                          <c:v>Enero-febrero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('SISTEMA AMPLIADO X'!$D$6:$D$20,'SISTEMA AMPLIADO X'!$D$23:$D$24)</c15:sqref>
                        </c15:formulaRef>
                      </c:ext>
                    </c:extLst>
                    <c:numCache>
                      <c:formatCode>_ * #,##0.0_ ;_ * \-#,##0.0_ ;_ * "-"??_ ;_ @_ </c:formatCode>
                      <c:ptCount val="17"/>
                      <c:pt idx="0">
                        <c:v>2.085059513972443</c:v>
                      </c:pt>
                      <c:pt idx="2">
                        <c:v>2.1088042284393689</c:v>
                      </c:pt>
                      <c:pt idx="4">
                        <c:v>3.0931468000368003</c:v>
                      </c:pt>
                      <c:pt idx="6">
                        <c:v>2.2526751101327727</c:v>
                      </c:pt>
                      <c:pt idx="8">
                        <c:v>2.8023223897126197</c:v>
                      </c:pt>
                      <c:pt idx="10">
                        <c:v>3.0113727188711525</c:v>
                      </c:pt>
                      <c:pt idx="12">
                        <c:v>2.4268812222950884</c:v>
                      </c:pt>
                      <c:pt idx="14">
                        <c:v>2.7776579903558543</c:v>
                      </c:pt>
                      <c:pt idx="16">
                        <c:v>0.29155542494411096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CB01-466F-9847-C91E158EB329}"/>
                  </c:ext>
                </c:extLst>
              </c15:ser>
            </c15:filteredBarSeries>
          </c:ext>
        </c:extLst>
      </c:barChart>
      <c:catAx>
        <c:axId val="42990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904176"/>
        <c:crosses val="autoZero"/>
        <c:auto val="1"/>
        <c:lblAlgn val="ctr"/>
        <c:lblOffset val="100"/>
        <c:noMultiLvlLbl val="0"/>
      </c:catAx>
      <c:valAx>
        <c:axId val="429904176"/>
        <c:scaling>
          <c:orientation val="minMax"/>
          <c:max val="7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 sz="900" b="0" i="0" baseline="0">
                    <a:effectLst/>
                  </a:rPr>
                  <a:t>Miles de millones (US$ FOB)</a:t>
                </a:r>
                <a:endParaRPr lang="es-CO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9393810529781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crossAx val="42990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45592780784831E-2"/>
          <c:y val="3.8327526132404179E-2"/>
          <c:w val="0.91915363228750391"/>
          <c:h val="0.68901498122790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'SISTEMA AMPLIADO M'!$C$2</c:f>
              <c:strCache>
                <c:ptCount val="1"/>
                <c:pt idx="0">
                  <c:v>Importaciones publicadas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0"/>
                  <c:y val="2.81156102671719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1.102053208740099E-16"/>
                  <c:y val="3.3023237234681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'SISTEMA AMPLIADO M'!$A$6:$B$24</c:f>
              <c:multiLvlStrCache>
                <c:ptCount val="19"/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  <c:pt idx="8">
                    <c:v>2018</c:v>
                  </c:pt>
                  <c:pt idx="10">
                    <c:v>2019</c:v>
                  </c:pt>
                  <c:pt idx="12">
                    <c:v>2020</c:v>
                  </c:pt>
                  <c:pt idx="14">
                    <c:v>2021</c:v>
                  </c:pt>
                  <c:pt idx="16">
                    <c:v>2021</c:v>
                  </c:pt>
                  <c:pt idx="18">
                    <c:v>2022</c:v>
                  </c:pt>
                </c:lvl>
                <c:lvl>
                  <c:pt idx="16">
                    <c:v>Enero-marzo</c:v>
                  </c:pt>
                </c:lvl>
              </c:multiLvlStrCache>
            </c:multiLvlStrRef>
          </c:cat>
          <c:val>
            <c:numRef>
              <c:f>'SISTEMA AMPLIADO M'!$C$6:$C$24</c:f>
              <c:numCache>
                <c:formatCode>_ * #,##0.0_ ;_ * \-#,##0.0_ ;_ * "-"??_ ;_ @_ </c:formatCode>
                <c:ptCount val="19"/>
                <c:pt idx="0">
                  <c:v>64.028883709179937</c:v>
                </c:pt>
                <c:pt idx="2">
                  <c:v>54.057599471979977</c:v>
                </c:pt>
                <c:pt idx="4">
                  <c:v>44.889366874919929</c:v>
                </c:pt>
                <c:pt idx="6">
                  <c:v>46.07105787784996</c:v>
                </c:pt>
                <c:pt idx="8">
                  <c:v>51.230567184149869</c:v>
                </c:pt>
                <c:pt idx="10">
                  <c:v>52.702624272089984</c:v>
                </c:pt>
                <c:pt idx="12">
                  <c:v>43.488662006790051</c:v>
                </c:pt>
                <c:pt idx="14">
                  <c:v>61.101362246449966</c:v>
                </c:pt>
                <c:pt idx="16">
                  <c:v>12.661049</c:v>
                </c:pt>
                <c:pt idx="18">
                  <c:v>18.940644389700001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C1-449F-9A1D-5D50085A468F}"/>
            </c:ext>
          </c:extLst>
        </c:ser>
        <c:ser>
          <c:idx val="2"/>
          <c:order val="2"/>
          <c:tx>
            <c:strRef>
              <c:f>'SISTEMA AMPLIADO M'!$E$2</c:f>
              <c:strCache>
                <c:ptCount val="1"/>
                <c:pt idx="0">
                  <c:v>Importaciones sistema comercial especial ampliado 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1.5028171905720113E-3"/>
                  <c:y val="2.5157446348090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Work Sans Light" panose="00000400000000000000" pitchFamily="2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5028171905720113E-3"/>
                  <c:y val="3.0452890020781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Work Sans Light" panose="00000400000000000000" pitchFamily="2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'SISTEMA AMPLIADO M'!$A$6:$B$24</c:f>
              <c:multiLvlStrCache>
                <c:ptCount val="19"/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  <c:pt idx="8">
                    <c:v>2018</c:v>
                  </c:pt>
                  <c:pt idx="10">
                    <c:v>2019</c:v>
                  </c:pt>
                  <c:pt idx="12">
                    <c:v>2020</c:v>
                  </c:pt>
                  <c:pt idx="14">
                    <c:v>2021</c:v>
                  </c:pt>
                  <c:pt idx="16">
                    <c:v>2021</c:v>
                  </c:pt>
                  <c:pt idx="18">
                    <c:v>2022</c:v>
                  </c:pt>
                </c:lvl>
                <c:lvl>
                  <c:pt idx="16">
                    <c:v>Enero-marzo</c:v>
                  </c:pt>
                </c:lvl>
              </c:multiLvlStrCache>
            </c:multiLvlStrRef>
          </c:cat>
          <c:val>
            <c:numRef>
              <c:f>'SISTEMA AMPLIADO M'!$E$6:$E$24</c:f>
              <c:numCache>
                <c:formatCode>_-* #,##0.0_-;\-* #,##0.0_-;_-* "-"??_-;_-@_-</c:formatCode>
                <c:ptCount val="19"/>
                <c:pt idx="0">
                  <c:v>66.01995424843993</c:v>
                </c:pt>
                <c:pt idx="2">
                  <c:v>55.533847213202677</c:v>
                </c:pt>
                <c:pt idx="4">
                  <c:v>45.899288493587186</c:v>
                </c:pt>
                <c:pt idx="6">
                  <c:v>46.741564314720556</c:v>
                </c:pt>
                <c:pt idx="8">
                  <c:v>51.972440727035789</c:v>
                </c:pt>
                <c:pt idx="10">
                  <c:v>53.20861713729532</c:v>
                </c:pt>
                <c:pt idx="12">
                  <c:v>44.030917395030052</c:v>
                </c:pt>
                <c:pt idx="14">
                  <c:v>61.892909126731986</c:v>
                </c:pt>
                <c:pt idx="16" formatCode="_ * #,##0.0_ ;_ * \-#,##0.0_ ;_ * &quot;-&quot;??_ ;_ @_ ">
                  <c:v>12.838714</c:v>
                </c:pt>
                <c:pt idx="18" formatCode="_ * #,##0.0_ ;_ * \-#,##0.0_ ;_ * &quot;-&quot;??_ ;_ @_ ">
                  <c:v>19.244045580809999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C1-449F-9A1D-5D50085A468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29904720"/>
        <c:axId val="4298894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Work Sans Light" panose="00000400000000000000" pitchFamily="2" charset="0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'SISTEMA AMPLIADO M'!$A$6:$B$24</c15:sqref>
                        </c15:formulaRef>
                      </c:ext>
                    </c:extLst>
                    <c:multiLvlStrCache>
                      <c:ptCount val="19"/>
                      <c:lvl>
                        <c:pt idx="0">
                          <c:v>2014</c:v>
                        </c:pt>
                        <c:pt idx="2">
                          <c:v>2015</c:v>
                        </c:pt>
                        <c:pt idx="4">
                          <c:v>2016</c:v>
                        </c:pt>
                        <c:pt idx="6">
                          <c:v>2017</c:v>
                        </c:pt>
                        <c:pt idx="8">
                          <c:v>2018</c:v>
                        </c:pt>
                        <c:pt idx="10">
                          <c:v>2019</c:v>
                        </c:pt>
                        <c:pt idx="12">
                          <c:v>2020</c:v>
                        </c:pt>
                        <c:pt idx="14">
                          <c:v>2021</c:v>
                        </c:pt>
                        <c:pt idx="16">
                          <c:v>2021</c:v>
                        </c:pt>
                        <c:pt idx="18">
                          <c:v>2022</c:v>
                        </c:pt>
                      </c:lvl>
                      <c:lvl>
                        <c:pt idx="16">
                          <c:v>Enero-marzo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('SISTEMA AMPLIADO M'!$D$6:$D$21,'SISTEMA AMPLIADO M'!$D$24)</c15:sqref>
                        </c15:formulaRef>
                      </c:ext>
                    </c:extLst>
                    <c:numCache>
                      <c:formatCode>_ * #,##0.0_ ;_ * \-#,##0.0_ ;_ * "-"??_ ;_ @_ </c:formatCode>
                      <c:ptCount val="17"/>
                      <c:pt idx="0">
                        <c:v>2.7767382252300012</c:v>
                      </c:pt>
                      <c:pt idx="2">
                        <c:v>2.3803334369827063</c:v>
                      </c:pt>
                      <c:pt idx="4">
                        <c:v>2.0390515300172614</c:v>
                      </c:pt>
                      <c:pt idx="6">
                        <c:v>2.1109536733706005</c:v>
                      </c:pt>
                      <c:pt idx="8">
                        <c:v>1.7834391507359144</c:v>
                      </c:pt>
                      <c:pt idx="10">
                        <c:v>1.3898469382153287</c:v>
                      </c:pt>
                      <c:pt idx="12">
                        <c:v>1.0532722693099998</c:v>
                      </c:pt>
                      <c:pt idx="14">
                        <c:v>1.6863345575620006</c:v>
                      </c:pt>
                      <c:pt idx="16">
                        <c:v>0.57305015827000028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7EC1-449F-9A1D-5D50085A468F}"/>
                  </c:ext>
                </c:extLst>
              </c15:ser>
            </c15:filteredBarSeries>
          </c:ext>
        </c:extLst>
      </c:barChart>
      <c:catAx>
        <c:axId val="42990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89488"/>
        <c:crosses val="autoZero"/>
        <c:auto val="1"/>
        <c:lblAlgn val="ctr"/>
        <c:lblOffset val="100"/>
        <c:noMultiLvlLbl val="0"/>
      </c:catAx>
      <c:valAx>
        <c:axId val="429889488"/>
        <c:scaling>
          <c:orientation val="minMax"/>
          <c:max val="7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(US$ CIF)</a:t>
                </a:r>
              </a:p>
            </c:rich>
          </c:tx>
          <c:layout>
            <c:manualLayout>
              <c:xMode val="edge"/>
              <c:yMode val="edge"/>
              <c:x val="0"/>
              <c:y val="0.19034925512359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Work Sans Light" panose="00000400000000000000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crossAx val="42990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4.7058823529411764E-2"/>
          <c:w val="0.96351575456053073"/>
          <c:h val="0.69727620812104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'PB DE PRODUCTOS EXPO MES'!$E$3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 EXPO MES'!$B$4:$B$7</c:f>
              <c:strCache>
                <c:ptCount val="4"/>
                <c:pt idx="0">
                  <c:v>Otro productos de las industrias alimentarias</c:v>
                </c:pt>
                <c:pt idx="1">
                  <c:v>Otros productos de materias textiles y sus manufacturas </c:v>
                </c:pt>
                <c:pt idx="2">
                  <c:v>Otros productos y manufacturas de metales comunes</c:v>
                </c:pt>
                <c:pt idx="3">
                  <c:v>Otros productos de madera, carbón vegetal y manufacturas de madera</c:v>
                </c:pt>
              </c:strCache>
            </c:strRef>
          </c:cat>
          <c:val>
            <c:numRef>
              <c:f>'PB DE PRODUCTOS EXPO MES'!$E$4:$E$7</c:f>
              <c:numCache>
                <c:formatCode>0.0%</c:formatCode>
                <c:ptCount val="4"/>
                <c:pt idx="0">
                  <c:v>2.8249214197459856E-2</c:v>
                </c:pt>
                <c:pt idx="1">
                  <c:v>1.393193701125058E-2</c:v>
                </c:pt>
                <c:pt idx="2">
                  <c:v>1.6978489096480445E-2</c:v>
                </c:pt>
                <c:pt idx="3">
                  <c:v>1.8863905651218648E-3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D8-4914-91CD-82C6CECC32FD}"/>
            </c:ext>
          </c:extLst>
        </c:ser>
        <c:ser>
          <c:idx val="1"/>
          <c:order val="1"/>
          <c:tx>
            <c:strRef>
              <c:f>'PB DE PRODUCTOS EXPO MES'!$F$3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 EXPO MES'!$B$4:$B$7</c:f>
              <c:strCache>
                <c:ptCount val="4"/>
                <c:pt idx="0">
                  <c:v>Otro productos de las industrias alimentarias</c:v>
                </c:pt>
                <c:pt idx="1">
                  <c:v>Otros productos de materias textiles y sus manufacturas </c:v>
                </c:pt>
                <c:pt idx="2">
                  <c:v>Otros productos y manufacturas de metales comunes</c:v>
                </c:pt>
                <c:pt idx="3">
                  <c:v>Otros productos de madera, carbón vegetal y manufacturas de madera</c:v>
                </c:pt>
              </c:strCache>
            </c:strRef>
          </c:cat>
          <c:val>
            <c:numRef>
              <c:f>'PB DE PRODUCTOS EXPO MES'!$F$4:$F$7</c:f>
              <c:numCache>
                <c:formatCode>0.0%</c:formatCode>
                <c:ptCount val="4"/>
                <c:pt idx="0">
                  <c:v>4.8179007830045306E-2</c:v>
                </c:pt>
                <c:pt idx="1">
                  <c:v>2.9333621651818454E-2</c:v>
                </c:pt>
                <c:pt idx="2">
                  <c:v>3.0868823251960685E-2</c:v>
                </c:pt>
                <c:pt idx="3">
                  <c:v>1.0025650079566366E-3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D8-4914-91CD-82C6CECC32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9"/>
        <c:axId val="429890032"/>
        <c:axId val="429894928"/>
      </c:barChart>
      <c:catAx>
        <c:axId val="4298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94928"/>
        <c:crosses val="autoZero"/>
        <c:auto val="1"/>
        <c:lblAlgn val="ctr"/>
        <c:lblOffset val="100"/>
        <c:noMultiLvlLbl val="0"/>
      </c:catAx>
      <c:valAx>
        <c:axId val="4298949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89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 DE PRODUCTOS EXPO PERIODO'!$E$3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 EXPO PERIODO'!$B$4:$B$8</c:f>
              <c:strCache>
                <c:ptCount val="5"/>
                <c:pt idx="0">
                  <c:v>Otros productos y manufacturas de metales comunes</c:v>
                </c:pt>
                <c:pt idx="1">
                  <c:v>Aparatos electricos</c:v>
                </c:pt>
                <c:pt idx="2">
                  <c:v>Otros productos de materias textiles y sus manufacturas </c:v>
                </c:pt>
                <c:pt idx="3">
                  <c:v>Productos de plástico y sus manufacturas; caucho y sus manufacturas </c:v>
                </c:pt>
                <c:pt idx="4">
                  <c:v>Mercancías y productos diversos</c:v>
                </c:pt>
              </c:strCache>
            </c:strRef>
          </c:cat>
          <c:val>
            <c:numRef>
              <c:f>'PB DE PRODUCTOS EXPO PERIODO'!$E$4:$E$8</c:f>
              <c:numCache>
                <c:formatCode>0.0%</c:formatCode>
                <c:ptCount val="5"/>
                <c:pt idx="0">
                  <c:v>3.0467082175528688E-2</c:v>
                </c:pt>
                <c:pt idx="1">
                  <c:v>5.8492004455831068E-2</c:v>
                </c:pt>
                <c:pt idx="2">
                  <c:v>2.6680600062306738E-2</c:v>
                </c:pt>
                <c:pt idx="3">
                  <c:v>2.8623620600397436E-2</c:v>
                </c:pt>
                <c:pt idx="4">
                  <c:v>3.2197301747318642E-2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D-4EB7-8615-24B26D1D92AD}"/>
            </c:ext>
          </c:extLst>
        </c:ser>
        <c:ser>
          <c:idx val="1"/>
          <c:order val="1"/>
          <c:tx>
            <c:strRef>
              <c:f>'PB DE PRODUCTOS EXPO PERIODO'!$F$3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Work Sans Light" panose="00000400000000000000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'PB DE PRODUCTOS EXPO PERIODO'!$B$4:$B$8</c:f>
              <c:strCache>
                <c:ptCount val="5"/>
                <c:pt idx="0">
                  <c:v>Otros productos y manufacturas de metales comunes</c:v>
                </c:pt>
                <c:pt idx="1">
                  <c:v>Aparatos electricos</c:v>
                </c:pt>
                <c:pt idx="2">
                  <c:v>Otros productos de materias textiles y sus manufacturas </c:v>
                </c:pt>
                <c:pt idx="3">
                  <c:v>Productos de plástico y sus manufacturas; caucho y sus manufacturas </c:v>
                </c:pt>
                <c:pt idx="4">
                  <c:v>Mercancías y productos diversos</c:v>
                </c:pt>
              </c:strCache>
            </c:strRef>
          </c:cat>
          <c:val>
            <c:numRef>
              <c:f>'PB DE PRODUCTOS EXPO PERIODO'!$F$4:$F$8</c:f>
              <c:numCache>
                <c:formatCode>0.0%</c:formatCode>
                <c:ptCount val="5"/>
                <c:pt idx="0">
                  <c:v>6.6650172035612479E-2</c:v>
                </c:pt>
                <c:pt idx="1">
                  <c:v>6.1805566020986018E-2</c:v>
                </c:pt>
                <c:pt idx="2">
                  <c:v>6.1649778602530465E-2</c:v>
                </c:pt>
                <c:pt idx="3">
                  <c:v>5.7758146158469859E-2</c:v>
                </c:pt>
                <c:pt idx="4">
                  <c:v>3.836943193907999E-2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D-4EB7-8615-24B26D1D92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9"/>
        <c:axId val="429891120"/>
        <c:axId val="429892208"/>
      </c:barChart>
      <c:catAx>
        <c:axId val="42989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 Light" panose="00000400000000000000" pitchFamily="2" charset="0"/>
                <a:ea typeface="+mn-ea"/>
                <a:cs typeface="+mn-cs"/>
              </a:defRPr>
            </a:pPr>
            <a:endParaRPr lang="es-CO"/>
          </a:p>
        </c:txPr>
        <c:crossAx val="429892208"/>
        <c:crosses val="autoZero"/>
        <c:auto val="1"/>
        <c:lblAlgn val="ctr"/>
        <c:lblOffset val="100"/>
        <c:noMultiLvlLbl val="0"/>
      </c:catAx>
      <c:valAx>
        <c:axId val="429892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89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 Light" panose="00000400000000000000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Work Sans Light" panose="00000400000000000000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53</xdr:row>
      <xdr:rowOff>76200</xdr:rowOff>
    </xdr:from>
    <xdr:to>
      <xdr:col>6</xdr:col>
      <xdr:colOff>213360</xdr:colOff>
      <xdr:row>68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5</xdr:row>
      <xdr:rowOff>85724</xdr:rowOff>
    </xdr:from>
    <xdr:to>
      <xdr:col>15</xdr:col>
      <xdr:colOff>53340</xdr:colOff>
      <xdr:row>24</xdr:row>
      <xdr:rowOff>45719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427990</xdr:colOff>
      <xdr:row>14</xdr:row>
      <xdr:rowOff>60960</xdr:rowOff>
    </xdr:from>
    <xdr:to>
      <xdr:col>7</xdr:col>
      <xdr:colOff>224790</xdr:colOff>
      <xdr:row>29</xdr:row>
      <xdr:rowOff>121920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2</xdr:row>
      <xdr:rowOff>4762</xdr:rowOff>
    </xdr:from>
    <xdr:to>
      <xdr:col>17</xdr:col>
      <xdr:colOff>38100</xdr:colOff>
      <xdr:row>28</xdr:row>
      <xdr:rowOff>91762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295275</xdr:colOff>
      <xdr:row>2</xdr:row>
      <xdr:rowOff>9525</xdr:rowOff>
    </xdr:from>
    <xdr:to>
      <xdr:col>23</xdr:col>
      <xdr:colOff>223275</xdr:colOff>
      <xdr:row>28</xdr:row>
      <xdr:rowOff>96525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147637</xdr:rowOff>
    </xdr:from>
    <xdr:to>
      <xdr:col>16</xdr:col>
      <xdr:colOff>709050</xdr:colOff>
      <xdr:row>29</xdr:row>
      <xdr:rowOff>44137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390525</xdr:colOff>
      <xdr:row>2</xdr:row>
      <xdr:rowOff>180975</xdr:rowOff>
    </xdr:from>
    <xdr:to>
      <xdr:col>23</xdr:col>
      <xdr:colOff>318525</xdr:colOff>
      <xdr:row>29</xdr:row>
      <xdr:rowOff>77475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1</xdr:row>
      <xdr:rowOff>327660</xdr:rowOff>
    </xdr:from>
    <xdr:to>
      <xdr:col>17</xdr:col>
      <xdr:colOff>217779</xdr:colOff>
      <xdr:row>20</xdr:row>
      <xdr:rowOff>31912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15240</xdr:rowOff>
    </xdr:from>
    <xdr:to>
      <xdr:col>17</xdr:col>
      <xdr:colOff>268820</xdr:colOff>
      <xdr:row>19</xdr:row>
      <xdr:rowOff>108477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213360</xdr:colOff>
      <xdr:row>1</xdr:row>
      <xdr:rowOff>15240</xdr:rowOff>
    </xdr:from>
    <xdr:to>
      <xdr:col>15</xdr:col>
      <xdr:colOff>678180</xdr:colOff>
      <xdr:row>18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163830</xdr:rowOff>
    </xdr:from>
    <xdr:to>
      <xdr:col>8</xdr:col>
      <xdr:colOff>708660</xdr:colOff>
      <xdr:row>28</xdr:row>
      <xdr:rowOff>163830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701040</xdr:colOff>
      <xdr:row>10</xdr:row>
      <xdr:rowOff>99060</xdr:rowOff>
    </xdr:from>
    <xdr:to>
      <xdr:col>14</xdr:col>
      <xdr:colOff>259080</xdr:colOff>
      <xdr:row>30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708660</xdr:colOff>
      <xdr:row>10</xdr:row>
      <xdr:rowOff>60960</xdr:rowOff>
    </xdr:from>
    <xdr:to>
      <xdr:col>12</xdr:col>
      <xdr:colOff>243840</xdr:colOff>
      <xdr:row>32</xdr:row>
      <xdr:rowOff>167640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I13"/>
  <sheetViews>
    <sheetView showGridLines="0" workbookViewId="0">
      <selection activeCell="A5" sqref="A5:G13"/>
    </sheetView>
  </sheetViews>
  <sheetFormatPr baseColWidth="10" defaultColWidth="11.44140625" defaultRowHeight="14.4" x14ac:dyDescent="0.3"/>
  <cols>
    <col min="1" max="1" width="25.33203125" customWidth="1"/>
  </cols>
  <sheetData>
    <row r="4" spans="1:9" ht="15" thickBot="1" x14ac:dyDescent="0.35">
      <c r="A4" s="5"/>
    </row>
    <row r="5" spans="1:9" ht="15" thickBot="1" x14ac:dyDescent="0.35">
      <c r="A5" s="163"/>
      <c r="B5" s="206" t="s">
        <v>146</v>
      </c>
      <c r="C5" s="206"/>
      <c r="D5" s="206"/>
      <c r="E5" s="206" t="str">
        <f>"Enero-"&amp;B5</f>
        <v>Enero-Marzo</v>
      </c>
      <c r="F5" s="206"/>
      <c r="G5" s="206"/>
      <c r="H5" s="18" t="s">
        <v>64</v>
      </c>
      <c r="I5" s="17" t="s">
        <v>63</v>
      </c>
    </row>
    <row r="6" spans="1:9" ht="15.75" customHeight="1" thickBot="1" x14ac:dyDescent="0.35">
      <c r="A6" s="164" t="s">
        <v>0</v>
      </c>
      <c r="B6" s="206" t="s">
        <v>3</v>
      </c>
      <c r="C6" s="206"/>
      <c r="D6" s="206"/>
      <c r="E6" s="206" t="s">
        <v>3</v>
      </c>
      <c r="F6" s="206"/>
      <c r="G6" s="206"/>
    </row>
    <row r="7" spans="1:9" ht="27" thickBot="1" x14ac:dyDescent="0.35">
      <c r="A7" s="165"/>
      <c r="B7" s="166">
        <v>2020</v>
      </c>
      <c r="C7" s="166">
        <v>2021</v>
      </c>
      <c r="D7" s="167" t="s">
        <v>2</v>
      </c>
      <c r="E7" s="166">
        <f>B7</f>
        <v>2020</v>
      </c>
      <c r="F7" s="166">
        <f>C7</f>
        <v>2021</v>
      </c>
      <c r="G7" s="167" t="s">
        <v>2</v>
      </c>
    </row>
    <row r="8" spans="1:9" x14ac:dyDescent="0.3">
      <c r="A8" s="168" t="s">
        <v>4</v>
      </c>
      <c r="B8" s="169"/>
      <c r="C8" s="169"/>
      <c r="D8" s="170"/>
      <c r="E8" s="169"/>
      <c r="F8" s="169"/>
      <c r="G8" s="170"/>
    </row>
    <row r="9" spans="1:9" x14ac:dyDescent="0.3">
      <c r="A9" s="171" t="s">
        <v>31</v>
      </c>
      <c r="B9" s="172">
        <v>256701.57546017889</v>
      </c>
      <c r="C9" s="172">
        <v>238388.41182689407</v>
      </c>
      <c r="D9" s="173">
        <v>-7.1340285311671909</v>
      </c>
      <c r="E9" s="172">
        <v>672132.05130775366</v>
      </c>
      <c r="F9" s="172">
        <v>529943.83677100507</v>
      </c>
      <c r="G9" s="173">
        <v>-21.154803473528141</v>
      </c>
      <c r="H9" s="18" t="s">
        <v>64</v>
      </c>
      <c r="I9" s="17" t="s">
        <v>65</v>
      </c>
    </row>
    <row r="10" spans="1:9" x14ac:dyDescent="0.3">
      <c r="A10" s="174" t="s">
        <v>32</v>
      </c>
      <c r="B10" s="175">
        <v>155170.02955000009</v>
      </c>
      <c r="C10" s="175">
        <v>266424.2139899999</v>
      </c>
      <c r="D10" s="176">
        <v>71.698242735818155</v>
      </c>
      <c r="E10" s="175">
        <v>393028.46719000017</v>
      </c>
      <c r="F10" s="175">
        <v>573050.15827000001</v>
      </c>
      <c r="G10" s="176">
        <v>45.803728255890604</v>
      </c>
    </row>
    <row r="11" spans="1:9" x14ac:dyDescent="0.3">
      <c r="A11" s="168" t="s">
        <v>5</v>
      </c>
      <c r="B11" s="169"/>
      <c r="C11" s="169"/>
      <c r="D11" s="170"/>
      <c r="E11" s="169"/>
      <c r="F11" s="169"/>
      <c r="G11" s="170"/>
    </row>
    <row r="12" spans="1:9" x14ac:dyDescent="0.3">
      <c r="A12" s="171" t="s">
        <v>33</v>
      </c>
      <c r="B12" s="172">
        <v>2378421.1189702055</v>
      </c>
      <c r="C12" s="172">
        <v>3174627.2419700031</v>
      </c>
      <c r="D12" s="173">
        <v>33.476246769307785</v>
      </c>
      <c r="E12" s="172">
        <v>6298917.8548089126</v>
      </c>
      <c r="F12" s="172">
        <v>8618587.8517300412</v>
      </c>
      <c r="G12" s="173">
        <v>36.826484332545718</v>
      </c>
    </row>
    <row r="13" spans="1:9" ht="15" thickBot="1" x14ac:dyDescent="0.35">
      <c r="A13" s="177" t="s">
        <v>34</v>
      </c>
      <c r="B13" s="178">
        <v>2364823.3347288575</v>
      </c>
      <c r="C13" s="178">
        <v>3200892.6971221603</v>
      </c>
      <c r="D13" s="179">
        <v>35.354411051139408</v>
      </c>
      <c r="E13" s="178">
        <v>6506048.4009005325</v>
      </c>
      <c r="F13" s="178">
        <v>8519106.401451949</v>
      </c>
      <c r="G13" s="179">
        <v>30.941331458167131</v>
      </c>
    </row>
  </sheetData>
  <mergeCells count="4">
    <mergeCell ref="B5:D5"/>
    <mergeCell ref="B6:D6"/>
    <mergeCell ref="E5:G5"/>
    <mergeCell ref="E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C1" workbookViewId="0">
      <selection activeCell="C7" sqref="C7"/>
    </sheetView>
  </sheetViews>
  <sheetFormatPr baseColWidth="10" defaultRowHeight="14.4" x14ac:dyDescent="0.3"/>
  <cols>
    <col min="2" max="2" width="39.6640625" customWidth="1"/>
  </cols>
  <sheetData>
    <row r="1" spans="1:7" x14ac:dyDescent="0.3">
      <c r="A1" s="212" t="s">
        <v>114</v>
      </c>
      <c r="B1" s="212"/>
      <c r="C1" s="212"/>
      <c r="D1" s="212"/>
    </row>
    <row r="2" spans="1:7" x14ac:dyDescent="0.3">
      <c r="A2" s="213" t="s">
        <v>61</v>
      </c>
      <c r="B2" s="213"/>
      <c r="C2" s="213"/>
      <c r="D2" s="213"/>
      <c r="E2" t="s">
        <v>115</v>
      </c>
    </row>
    <row r="3" spans="1:7" x14ac:dyDescent="0.3">
      <c r="E3" s="147">
        <v>43831</v>
      </c>
      <c r="F3" s="147">
        <v>44197</v>
      </c>
    </row>
    <row r="4" spans="1:7" x14ac:dyDescent="0.3">
      <c r="A4" s="137" t="s">
        <v>122</v>
      </c>
      <c r="B4" s="138" t="str">
        <f>VLOOKUP(A4,$A$17:$B$32,2,FALSE)</f>
        <v>Aparatos electricos</v>
      </c>
      <c r="C4" s="142">
        <v>16355.466689999997</v>
      </c>
      <c r="D4" s="142">
        <v>31567.58936000002</v>
      </c>
      <c r="E4" s="70">
        <f t="shared" ref="E4:F7" si="0">C4/E$9</f>
        <v>0.10540351598457234</v>
      </c>
      <c r="F4" s="70">
        <f t="shared" si="0"/>
        <v>0.1184861874498573</v>
      </c>
      <c r="G4" s="150">
        <f>F4-E4</f>
        <v>1.3082671465284954E-2</v>
      </c>
    </row>
    <row r="5" spans="1:7" ht="29.4" customHeight="1" x14ac:dyDescent="0.3">
      <c r="A5" s="139" t="s">
        <v>123</v>
      </c>
      <c r="B5" s="138" t="str">
        <f>VLOOKUP(A5,$A$17:$B$32,2,FALSE)</f>
        <v>Otros productos y manufacturas de metales comunes</v>
      </c>
      <c r="C5" s="143">
        <v>8600.0500800000009</v>
      </c>
      <c r="D5" s="143">
        <v>14434.952280000009</v>
      </c>
      <c r="E5" s="70">
        <f t="shared" si="0"/>
        <v>5.5423396547261888E-2</v>
      </c>
      <c r="F5" s="70">
        <f t="shared" si="0"/>
        <v>5.4180331674139111E-2</v>
      </c>
      <c r="G5" s="150">
        <f t="shared" ref="G5:G7" si="1">F5-E5</f>
        <v>-1.2430648731227775E-3</v>
      </c>
    </row>
    <row r="6" spans="1:7" ht="26.4" x14ac:dyDescent="0.3">
      <c r="A6" s="137" t="s">
        <v>104</v>
      </c>
      <c r="B6" s="138" t="str">
        <f>VLOOKUP(A6,$A$17:$B$32,2,FALSE)</f>
        <v>Productos de plástico y sus manufacturas; caucho y sus manufacturas </v>
      </c>
      <c r="C6" s="142">
        <v>4827.6848800000025</v>
      </c>
      <c r="D6" s="142">
        <v>10640.052060000002</v>
      </c>
      <c r="E6" s="70">
        <f t="shared" si="0"/>
        <v>3.1112225047584902E-2</v>
      </c>
      <c r="F6" s="70">
        <f t="shared" si="0"/>
        <v>3.993650539736366E-2</v>
      </c>
      <c r="G6" s="150">
        <f t="shared" si="1"/>
        <v>8.8242803497787584E-3</v>
      </c>
    </row>
    <row r="7" spans="1:7" ht="42.6" customHeight="1" x14ac:dyDescent="0.3">
      <c r="A7" s="139" t="s">
        <v>136</v>
      </c>
      <c r="B7" s="138" t="str">
        <f>VLOOKUP(A7,$A$17:$B$32,2,FALSE)</f>
        <v>Manufacturas de pieles y cuero</v>
      </c>
      <c r="C7" s="143">
        <v>6.3719599999999996</v>
      </c>
      <c r="D7" s="143">
        <v>29.571740000000005</v>
      </c>
      <c r="E7" s="70">
        <f t="shared" si="0"/>
        <v>4.1064373181335103E-5</v>
      </c>
      <c r="F7" s="70">
        <f t="shared" si="0"/>
        <v>1.1099494132732982E-4</v>
      </c>
      <c r="G7" s="150">
        <f t="shared" si="1"/>
        <v>6.9930568145994717E-5</v>
      </c>
    </row>
    <row r="8" spans="1:7" x14ac:dyDescent="0.3">
      <c r="A8" s="137"/>
      <c r="C8" s="142"/>
      <c r="D8" s="142"/>
      <c r="E8" s="71"/>
      <c r="F8" s="71"/>
    </row>
    <row r="9" spans="1:7" x14ac:dyDescent="0.3">
      <c r="E9" s="96">
        <f>CUADRO!B10</f>
        <v>155170.02955000009</v>
      </c>
      <c r="F9" s="96">
        <f>CUADRO!C10</f>
        <v>266424.2139899999</v>
      </c>
    </row>
    <row r="17" spans="1:2" x14ac:dyDescent="0.3">
      <c r="A17" s="137" t="s">
        <v>122</v>
      </c>
      <c r="B17" s="138" t="s">
        <v>105</v>
      </c>
    </row>
    <row r="18" spans="1:2" ht="26.4" x14ac:dyDescent="0.3">
      <c r="A18" s="139" t="s">
        <v>104</v>
      </c>
      <c r="B18" s="140" t="s">
        <v>106</v>
      </c>
    </row>
    <row r="19" spans="1:2" x14ac:dyDescent="0.3">
      <c r="A19" s="137" t="s">
        <v>112</v>
      </c>
      <c r="B19" t="s">
        <v>109</v>
      </c>
    </row>
    <row r="20" spans="1:2" x14ac:dyDescent="0.3">
      <c r="A20" s="139" t="s">
        <v>113</v>
      </c>
      <c r="B20" t="s">
        <v>110</v>
      </c>
    </row>
    <row r="21" spans="1:2" x14ac:dyDescent="0.3">
      <c r="A21" s="138" t="s">
        <v>124</v>
      </c>
      <c r="B21" t="s">
        <v>111</v>
      </c>
    </row>
    <row r="22" spans="1:2" ht="26.4" x14ac:dyDescent="0.3">
      <c r="A22" s="139" t="s">
        <v>126</v>
      </c>
      <c r="B22" s="140" t="s">
        <v>116</v>
      </c>
    </row>
    <row r="23" spans="1:2" ht="26.4" x14ac:dyDescent="0.3">
      <c r="A23" s="139" t="s">
        <v>127</v>
      </c>
      <c r="B23" s="140" t="s">
        <v>117</v>
      </c>
    </row>
    <row r="24" spans="1:2" ht="26.4" x14ac:dyDescent="0.3">
      <c r="A24" s="137" t="s">
        <v>123</v>
      </c>
      <c r="B24" s="138" t="s">
        <v>120</v>
      </c>
    </row>
    <row r="25" spans="1:2" ht="26.4" x14ac:dyDescent="0.3">
      <c r="A25" s="137" t="s">
        <v>113</v>
      </c>
      <c r="B25" s="138" t="s">
        <v>110</v>
      </c>
    </row>
    <row r="26" spans="1:2" x14ac:dyDescent="0.3">
      <c r="A26" s="138" t="s">
        <v>112</v>
      </c>
      <c r="B26" s="138" t="s">
        <v>109</v>
      </c>
    </row>
    <row r="27" spans="1:2" x14ac:dyDescent="0.3">
      <c r="A27" s="137" t="s">
        <v>128</v>
      </c>
      <c r="B27" s="138" t="s">
        <v>119</v>
      </c>
    </row>
    <row r="28" spans="1:2" x14ac:dyDescent="0.3">
      <c r="A28" s="137" t="s">
        <v>129</v>
      </c>
      <c r="B28" s="138" t="s">
        <v>118</v>
      </c>
    </row>
    <row r="29" spans="1:2" ht="26.4" x14ac:dyDescent="0.3">
      <c r="A29" s="152" t="s">
        <v>104</v>
      </c>
      <c r="B29" s="153" t="s">
        <v>121</v>
      </c>
    </row>
    <row r="30" spans="1:2" ht="26.4" x14ac:dyDescent="0.3">
      <c r="A30" s="139" t="s">
        <v>125</v>
      </c>
      <c r="B30" s="140" t="s">
        <v>130</v>
      </c>
    </row>
    <row r="31" spans="1:2" x14ac:dyDescent="0.3">
      <c r="A31" s="139" t="s">
        <v>136</v>
      </c>
      <c r="B31" s="140" t="s">
        <v>137</v>
      </c>
    </row>
  </sheetData>
  <autoFilter ref="A3:F3">
    <sortState ref="A4:F7">
      <sortCondition descending="1" ref="F3"/>
    </sortState>
  </autoFilter>
  <mergeCells count="2"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B2" workbookViewId="0">
      <selection activeCell="B5" sqref="B5"/>
    </sheetView>
  </sheetViews>
  <sheetFormatPr baseColWidth="10" defaultRowHeight="14.4" x14ac:dyDescent="0.3"/>
  <cols>
    <col min="2" max="2" width="39.6640625" customWidth="1"/>
  </cols>
  <sheetData>
    <row r="1" spans="1:7" x14ac:dyDescent="0.3">
      <c r="A1" s="212" t="s">
        <v>107</v>
      </c>
      <c r="B1" s="212"/>
      <c r="C1" s="212"/>
      <c r="D1" s="212"/>
    </row>
    <row r="2" spans="1:7" x14ac:dyDescent="0.3">
      <c r="A2" s="213" t="s">
        <v>61</v>
      </c>
      <c r="B2" s="213"/>
      <c r="C2" s="213"/>
      <c r="D2" s="213"/>
      <c r="E2" t="s">
        <v>115</v>
      </c>
    </row>
    <row r="3" spans="1:7" x14ac:dyDescent="0.3">
      <c r="C3">
        <v>2020</v>
      </c>
      <c r="D3">
        <v>2021</v>
      </c>
      <c r="E3" s="147">
        <v>43831</v>
      </c>
      <c r="F3" s="147">
        <v>44197</v>
      </c>
    </row>
    <row r="4" spans="1:7" x14ac:dyDescent="0.3">
      <c r="A4" s="154" t="s">
        <v>122</v>
      </c>
      <c r="B4" s="138" t="str">
        <f>VLOOKUP(A4,'PB DE PRODUCTOSM IMPO MES'!$A$17:$B$40,2,FALSE)</f>
        <v>Aparatos electricos</v>
      </c>
      <c r="C4" s="144">
        <v>133882.53076999998</v>
      </c>
      <c r="D4" s="144">
        <v>196471.4117</v>
      </c>
      <c r="E4" s="70">
        <f t="shared" ref="E4:F7" si="0">C4/C$10</f>
        <v>0.34064334252225476</v>
      </c>
      <c r="F4" s="70">
        <f t="shared" si="0"/>
        <v>0.34285203287114346</v>
      </c>
      <c r="G4" s="150">
        <f>F4-E4</f>
        <v>2.2086903488887089E-3</v>
      </c>
    </row>
    <row r="5" spans="1:7" ht="26.4" x14ac:dyDescent="0.3">
      <c r="A5" s="155" t="s">
        <v>126</v>
      </c>
      <c r="B5" s="138" t="str">
        <f>VLOOKUP(A5,'PB DE PRODUCTOSM IMPO MES'!$A$17:$B$40,2,FALSE)</f>
        <v>Otros productos de las industrias químicas o de las industrias conexas</v>
      </c>
      <c r="C5" s="144">
        <v>60254.280070000001</v>
      </c>
      <c r="D5" s="144">
        <v>71808.585449999999</v>
      </c>
      <c r="E5" s="70">
        <f t="shared" si="0"/>
        <v>0.1533076738710418</v>
      </c>
      <c r="F5" s="70">
        <f t="shared" si="0"/>
        <v>0.12530942433867448</v>
      </c>
      <c r="G5" s="150">
        <f t="shared" ref="G5:G7" si="1">F5-E5</f>
        <v>-2.799824953236732E-2</v>
      </c>
    </row>
    <row r="6" spans="1:7" ht="26.4" x14ac:dyDescent="0.3">
      <c r="A6" s="154" t="s">
        <v>104</v>
      </c>
      <c r="B6" s="138" t="str">
        <f>VLOOKUP(A6,'PB DE PRODUCTOSM IMPO MES'!$A$17:$B$40,2,FALSE)</f>
        <v>Productos de plástico y sus manufacturas; caucho y sus manufacturas </v>
      </c>
      <c r="C6" s="144">
        <v>35500.463109999997</v>
      </c>
      <c r="D6" s="144">
        <v>40172.965289999993</v>
      </c>
      <c r="E6" s="70">
        <f t="shared" si="0"/>
        <v>9.0325424424888168E-2</v>
      </c>
      <c r="F6" s="70">
        <f t="shared" si="0"/>
        <v>7.0103750448790525E-2</v>
      </c>
      <c r="G6" s="150">
        <f t="shared" si="1"/>
        <v>-2.0221673976097643E-2</v>
      </c>
    </row>
    <row r="7" spans="1:7" x14ac:dyDescent="0.3">
      <c r="A7" s="155" t="s">
        <v>136</v>
      </c>
      <c r="B7" s="138" t="str">
        <f>VLOOKUP(A7,'PB DE PRODUCTOSM IMPO MES'!$A$17:$B$40,2,FALSE)</f>
        <v>Manufacturas de pieles y cuero</v>
      </c>
      <c r="C7" s="144">
        <v>48.836739999999999</v>
      </c>
      <c r="D7" s="144">
        <v>62.15928000000001</v>
      </c>
      <c r="E7" s="70">
        <f t="shared" si="0"/>
        <v>1.2425751332763142E-4</v>
      </c>
      <c r="F7" s="70">
        <f t="shared" si="0"/>
        <v>1.0847092371050852E-4</v>
      </c>
      <c r="G7" s="150">
        <f t="shared" si="1"/>
        <v>-1.5786589617122895E-5</v>
      </c>
    </row>
    <row r="8" spans="1:7" x14ac:dyDescent="0.3">
      <c r="A8" s="138"/>
      <c r="B8" s="138"/>
      <c r="C8" s="144"/>
      <c r="D8" s="144"/>
      <c r="E8" s="70"/>
      <c r="F8" s="70"/>
      <c r="G8" s="150"/>
    </row>
    <row r="9" spans="1:7" x14ac:dyDescent="0.3">
      <c r="A9" s="138"/>
      <c r="B9" s="138"/>
      <c r="C9" s="144"/>
      <c r="D9" s="144"/>
      <c r="E9" s="70"/>
      <c r="F9" s="70"/>
      <c r="G9" s="150"/>
    </row>
    <row r="10" spans="1:7" x14ac:dyDescent="0.3">
      <c r="C10" s="96">
        <f>CUADRO!E10</f>
        <v>393028.46719000017</v>
      </c>
      <c r="D10" s="96">
        <f>CUADRO!F10</f>
        <v>573050.15827000001</v>
      </c>
      <c r="E10" s="70">
        <f>C10/C$10</f>
        <v>1</v>
      </c>
      <c r="F10" s="70">
        <f>D10/D$10</f>
        <v>1</v>
      </c>
      <c r="G10" s="150">
        <f t="shared" ref="G10" si="2">E10-F10</f>
        <v>0</v>
      </c>
    </row>
  </sheetData>
  <autoFilter ref="A3:F3">
    <sortState ref="A4:F8">
      <sortCondition descending="1" ref="D3"/>
    </sortState>
  </autoFilter>
  <mergeCells count="2"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baseColWidth="10" defaultRowHeight="14.4" x14ac:dyDescent="0.3"/>
  <sheetData>
    <row r="1" spans="1:16" s="11" customFormat="1" ht="75" x14ac:dyDescent="0.3">
      <c r="A1" s="91" t="s">
        <v>84</v>
      </c>
      <c r="B1" s="92" t="s">
        <v>79</v>
      </c>
      <c r="C1" s="92" t="s">
        <v>85</v>
      </c>
      <c r="D1" s="92" t="s">
        <v>80</v>
      </c>
      <c r="E1" s="92" t="s">
        <v>78</v>
      </c>
      <c r="F1" s="93" t="s">
        <v>84</v>
      </c>
      <c r="G1" s="94" t="s">
        <v>75</v>
      </c>
      <c r="H1" s="94" t="s">
        <v>76</v>
      </c>
      <c r="I1" s="94" t="s">
        <v>77</v>
      </c>
      <c r="J1" s="94" t="s">
        <v>78</v>
      </c>
      <c r="K1" s="94" t="s">
        <v>86</v>
      </c>
      <c r="L1" s="94" t="s">
        <v>87</v>
      </c>
      <c r="M1" s="94"/>
      <c r="N1" s="94" t="s">
        <v>91</v>
      </c>
      <c r="O1" s="94" t="s">
        <v>92</v>
      </c>
    </row>
    <row r="2" spans="1:16" ht="15" x14ac:dyDescent="0.35">
      <c r="A2" s="76">
        <v>43101</v>
      </c>
      <c r="B2" s="77">
        <v>3895928.5525099821</v>
      </c>
      <c r="C2" s="77">
        <v>178243.8460699998</v>
      </c>
      <c r="D2" s="77">
        <v>3985957.0587999821</v>
      </c>
      <c r="E2" s="78">
        <v>9.5134168795693288</v>
      </c>
      <c r="F2" s="79">
        <v>43101</v>
      </c>
      <c r="G2" s="80">
        <v>3324889.0422599902</v>
      </c>
      <c r="H2" s="80">
        <v>138938.20237380188</v>
      </c>
      <c r="I2" s="80">
        <v>3366263.4667737922</v>
      </c>
      <c r="J2" s="81">
        <v>19.173069170917636</v>
      </c>
      <c r="K2" s="82">
        <f>H2-C2</f>
        <v>-39305.64369619792</v>
      </c>
      <c r="L2" s="82">
        <f>G2-B2</f>
        <v>-571039.5102499919</v>
      </c>
      <c r="M2" s="83" t="e">
        <f>K2/K1-1</f>
        <v>#VALUE!</v>
      </c>
      <c r="N2" s="84">
        <f>H2/I2</f>
        <v>4.1273716019310715E-2</v>
      </c>
      <c r="O2" s="84">
        <f>C2/D2</f>
        <v>4.4717954418621392E-2</v>
      </c>
      <c r="P2" s="71"/>
    </row>
    <row r="3" spans="1:16" ht="15" x14ac:dyDescent="0.35">
      <c r="A3" s="79">
        <v>43132</v>
      </c>
      <c r="B3" s="85">
        <v>3650611.4025199879</v>
      </c>
      <c r="C3" s="85">
        <v>138941.38360999967</v>
      </c>
      <c r="D3" s="85">
        <v>3697636.0181199876</v>
      </c>
      <c r="E3" s="86">
        <v>-1.1902605199223142</v>
      </c>
      <c r="F3" s="87">
        <v>43132</v>
      </c>
      <c r="G3" s="88">
        <v>3027602.757069997</v>
      </c>
      <c r="H3" s="88">
        <v>205551.2218746221</v>
      </c>
      <c r="I3" s="88">
        <v>3102068.051514619</v>
      </c>
      <c r="J3" s="89">
        <v>12.439368070873886</v>
      </c>
      <c r="K3" s="82">
        <f t="shared" ref="K3:K29" si="0">H3-C3</f>
        <v>66609.838264622435</v>
      </c>
      <c r="L3" s="82">
        <f t="shared" ref="L3:L30" si="1">G3-B3</f>
        <v>-623008.64544999087</v>
      </c>
      <c r="M3" s="83">
        <f t="shared" ref="M3:M29" si="2">K3/K2-1</f>
        <v>-2.6946634630758046</v>
      </c>
      <c r="N3" s="84">
        <f t="shared" ref="N3:N30" si="3">H3/I3</f>
        <v>6.6262641070771941E-2</v>
      </c>
      <c r="O3" s="84">
        <f t="shared" ref="O3:O29" si="4">C3/D3</f>
        <v>3.7575732962662589E-2</v>
      </c>
      <c r="P3" s="71"/>
    </row>
    <row r="4" spans="1:16" ht="15" x14ac:dyDescent="0.35">
      <c r="A4" s="76">
        <v>43160</v>
      </c>
      <c r="B4" s="77">
        <v>3906080.6666499921</v>
      </c>
      <c r="C4" s="77">
        <v>155772.98780273207</v>
      </c>
      <c r="D4" s="77">
        <v>3987702.8996027242</v>
      </c>
      <c r="E4" s="78">
        <v>-4.9780428770645795</v>
      </c>
      <c r="F4" s="79">
        <v>43160</v>
      </c>
      <c r="G4" s="80">
        <v>3365115.9156200043</v>
      </c>
      <c r="H4" s="80">
        <v>175981.49505367101</v>
      </c>
      <c r="I4" s="80">
        <v>3390428.7703436753</v>
      </c>
      <c r="J4" s="90">
        <v>0.99385999320495344</v>
      </c>
      <c r="K4" s="82">
        <f t="shared" si="0"/>
        <v>20208.507250938943</v>
      </c>
      <c r="L4" s="82">
        <f t="shared" si="1"/>
        <v>-540964.75102998782</v>
      </c>
      <c r="M4" s="83">
        <f t="shared" si="2"/>
        <v>-0.69661377692201953</v>
      </c>
      <c r="N4" s="84">
        <f t="shared" si="3"/>
        <v>5.1905380402913585E-2</v>
      </c>
      <c r="O4" s="84">
        <f t="shared" si="4"/>
        <v>3.9063338399220007E-2</v>
      </c>
      <c r="P4" s="71"/>
    </row>
    <row r="5" spans="1:16" ht="15" x14ac:dyDescent="0.35">
      <c r="A5" s="79">
        <v>43191</v>
      </c>
      <c r="B5" s="85">
        <v>4238342.0170000335</v>
      </c>
      <c r="C5" s="85">
        <v>154518.85460773658</v>
      </c>
      <c r="D5" s="85">
        <v>4310053.6988677708</v>
      </c>
      <c r="E5" s="86">
        <v>5.8460061787144735</v>
      </c>
      <c r="F5" s="87">
        <v>43191</v>
      </c>
      <c r="G5" s="88">
        <v>3786536.5525500164</v>
      </c>
      <c r="H5" s="88">
        <v>253568.59789900994</v>
      </c>
      <c r="I5" s="88">
        <v>3886032.3159190263</v>
      </c>
      <c r="J5" s="89">
        <v>41.591843968155153</v>
      </c>
      <c r="K5" s="82">
        <f t="shared" si="0"/>
        <v>99049.743291273364</v>
      </c>
      <c r="L5" s="82">
        <f t="shared" si="1"/>
        <v>-451805.46445001708</v>
      </c>
      <c r="M5" s="83">
        <f t="shared" si="2"/>
        <v>3.9013884133708707</v>
      </c>
      <c r="N5" s="84">
        <f t="shared" si="3"/>
        <v>6.525128390216238E-2</v>
      </c>
      <c r="O5" s="84">
        <f t="shared" si="4"/>
        <v>3.585079569851482E-2</v>
      </c>
      <c r="P5" s="71"/>
    </row>
    <row r="6" spans="1:16" ht="15" x14ac:dyDescent="0.35">
      <c r="A6" s="76">
        <v>43221</v>
      </c>
      <c r="B6" s="77">
        <v>4513345.711059968</v>
      </c>
      <c r="C6" s="77">
        <v>133632.79426544686</v>
      </c>
      <c r="D6" s="77">
        <v>4550960.7336754147</v>
      </c>
      <c r="E6" s="78">
        <v>19.666384331453774</v>
      </c>
      <c r="F6" s="79">
        <v>43221</v>
      </c>
      <c r="G6" s="80">
        <v>3719410.3744799905</v>
      </c>
      <c r="H6" s="80">
        <v>187001.63052160709</v>
      </c>
      <c r="I6" s="80">
        <v>3743851.0378615977</v>
      </c>
      <c r="J6" s="90">
        <v>5.8060064938764828</v>
      </c>
      <c r="K6" s="82">
        <f t="shared" si="0"/>
        <v>53368.836256160226</v>
      </c>
      <c r="L6" s="82">
        <f t="shared" si="1"/>
        <v>-793935.33657997753</v>
      </c>
      <c r="M6" s="83">
        <f t="shared" si="2"/>
        <v>-0.46119157422528922</v>
      </c>
      <c r="N6" s="84">
        <f t="shared" si="3"/>
        <v>4.9949004014972286E-2</v>
      </c>
      <c r="O6" s="84">
        <f t="shared" si="4"/>
        <v>2.9363644752329755E-2</v>
      </c>
      <c r="P6" s="71"/>
    </row>
    <row r="7" spans="1:16" ht="15" x14ac:dyDescent="0.35">
      <c r="A7" s="79">
        <v>43252</v>
      </c>
      <c r="B7" s="85">
        <v>4226157.7741799839</v>
      </c>
      <c r="C7" s="85">
        <v>123609.93417999973</v>
      </c>
      <c r="D7" s="85">
        <v>4271491.6906099841</v>
      </c>
      <c r="E7" s="86">
        <v>11.695704089782938</v>
      </c>
      <c r="F7" s="87">
        <v>43252</v>
      </c>
      <c r="G7" s="88">
        <v>3331933.2712500128</v>
      </c>
      <c r="H7" s="88">
        <v>232298.37855546593</v>
      </c>
      <c r="I7" s="88">
        <v>3437221.2266354789</v>
      </c>
      <c r="J7" s="89">
        <v>15.058354723472158</v>
      </c>
      <c r="K7" s="82">
        <f t="shared" si="0"/>
        <v>108688.44437546619</v>
      </c>
      <c r="L7" s="82">
        <f t="shared" si="1"/>
        <v>-894224.50292997109</v>
      </c>
      <c r="M7" s="83">
        <f t="shared" si="2"/>
        <v>1.0365526400797349</v>
      </c>
      <c r="N7" s="84">
        <f t="shared" si="3"/>
        <v>6.7583190966980899E-2</v>
      </c>
      <c r="O7" s="84">
        <f t="shared" si="4"/>
        <v>2.8938352953309338E-2</v>
      </c>
      <c r="P7" s="71"/>
    </row>
    <row r="8" spans="1:16" ht="15" x14ac:dyDescent="0.35">
      <c r="A8" s="76">
        <v>43282</v>
      </c>
      <c r="B8" s="77">
        <v>4347436.4849900194</v>
      </c>
      <c r="C8" s="77">
        <v>138087.1379099997</v>
      </c>
      <c r="D8" s="77">
        <v>4393577.1561000198</v>
      </c>
      <c r="E8" s="78">
        <v>15.351178759335976</v>
      </c>
      <c r="F8" s="79">
        <v>43282</v>
      </c>
      <c r="G8" s="80">
        <v>3632054.9832399916</v>
      </c>
      <c r="H8" s="80">
        <v>225787.37455802804</v>
      </c>
      <c r="I8" s="80">
        <v>3706211.8889680197</v>
      </c>
      <c r="J8" s="90">
        <v>16.986980342886156</v>
      </c>
      <c r="K8" s="82">
        <f t="shared" si="0"/>
        <v>87700.236648028338</v>
      </c>
      <c r="L8" s="82">
        <f t="shared" si="1"/>
        <v>-715381.50175002776</v>
      </c>
      <c r="M8" s="83">
        <f t="shared" si="2"/>
        <v>-0.19310431617673829</v>
      </c>
      <c r="N8" s="84">
        <f>H8/I8</f>
        <v>6.092133459236667E-2</v>
      </c>
      <c r="O8" s="84">
        <f t="shared" si="4"/>
        <v>3.1429318981750491E-2</v>
      </c>
      <c r="P8" s="71"/>
    </row>
    <row r="9" spans="1:16" ht="15" x14ac:dyDescent="0.35">
      <c r="A9" s="79">
        <v>43313</v>
      </c>
      <c r="B9" s="85">
        <v>4580712.3564600162</v>
      </c>
      <c r="C9" s="85">
        <v>116513.45828000017</v>
      </c>
      <c r="D9" s="85">
        <v>4610542.8732000161</v>
      </c>
      <c r="E9" s="86">
        <v>8.5867655012684132</v>
      </c>
      <c r="F9" s="87">
        <v>43313</v>
      </c>
      <c r="G9" s="88">
        <v>3684398.7819900238</v>
      </c>
      <c r="H9" s="88">
        <v>225372.445593774</v>
      </c>
      <c r="I9" s="88">
        <v>3738940.4596837973</v>
      </c>
      <c r="J9" s="89">
        <v>14.74418433719817</v>
      </c>
      <c r="K9" s="82">
        <f t="shared" si="0"/>
        <v>108858.98731377383</v>
      </c>
      <c r="L9" s="82">
        <f t="shared" si="1"/>
        <v>-896313.57446999243</v>
      </c>
      <c r="M9" s="83">
        <f t="shared" si="2"/>
        <v>0.24126218439595482</v>
      </c>
      <c r="N9" s="84">
        <f t="shared" si="3"/>
        <v>6.0277088662929329E-2</v>
      </c>
      <c r="O9" s="84">
        <f t="shared" si="4"/>
        <v>2.5271093119481669E-2</v>
      </c>
      <c r="P9" s="71"/>
    </row>
    <row r="10" spans="1:16" ht="15" x14ac:dyDescent="0.35">
      <c r="A10" s="76">
        <v>43344</v>
      </c>
      <c r="B10" s="77">
        <v>4047790.0887199584</v>
      </c>
      <c r="C10" s="77">
        <v>138414.93859999988</v>
      </c>
      <c r="D10" s="77">
        <v>4093297.9368399582</v>
      </c>
      <c r="E10" s="78">
        <v>8.7516157505820722</v>
      </c>
      <c r="F10" s="79">
        <v>43344</v>
      </c>
      <c r="G10" s="80">
        <v>3512841.5607400169</v>
      </c>
      <c r="H10" s="80">
        <v>287349.96430202591</v>
      </c>
      <c r="I10" s="80">
        <v>3542638.9471320431</v>
      </c>
      <c r="J10" s="90">
        <v>3.0718835458812737</v>
      </c>
      <c r="K10" s="82">
        <f t="shared" si="0"/>
        <v>148935.02570202603</v>
      </c>
      <c r="L10" s="82">
        <f t="shared" si="1"/>
        <v>-534948.52797994157</v>
      </c>
      <c r="M10" s="83">
        <f t="shared" si="2"/>
        <v>0.36814634581100325</v>
      </c>
      <c r="N10" s="84">
        <f t="shared" si="3"/>
        <v>8.1111840238376864E-2</v>
      </c>
      <c r="O10" s="84">
        <f t="shared" si="4"/>
        <v>3.3815016824027412E-2</v>
      </c>
      <c r="P10" s="71"/>
    </row>
    <row r="11" spans="1:16" ht="15" x14ac:dyDescent="0.35">
      <c r="A11" s="79">
        <v>43374</v>
      </c>
      <c r="B11" s="85">
        <v>5165514.9207999436</v>
      </c>
      <c r="C11" s="85">
        <v>175151.56434999983</v>
      </c>
      <c r="D11" s="85">
        <v>5257172.073789943</v>
      </c>
      <c r="E11" s="86">
        <v>32.370315872923001</v>
      </c>
      <c r="F11" s="87">
        <v>43374</v>
      </c>
      <c r="G11" s="88">
        <v>3768666.2767599812</v>
      </c>
      <c r="H11" s="88">
        <v>327816.88047857891</v>
      </c>
      <c r="I11" s="88">
        <v>3871312.9934385605</v>
      </c>
      <c r="J11" s="89">
        <v>15.499707365475846</v>
      </c>
      <c r="K11" s="82">
        <f t="shared" si="0"/>
        <v>152665.31612857908</v>
      </c>
      <c r="L11" s="82">
        <f t="shared" si="1"/>
        <v>-1396848.6440399624</v>
      </c>
      <c r="M11" s="83">
        <f t="shared" si="2"/>
        <v>2.5046428192225578E-2</v>
      </c>
      <c r="N11" s="84">
        <f t="shared" si="3"/>
        <v>8.4678474986184693E-2</v>
      </c>
      <c r="O11" s="84">
        <f t="shared" si="4"/>
        <v>3.3316688495556787E-2</v>
      </c>
      <c r="P11" s="71"/>
    </row>
    <row r="12" spans="1:16" ht="15" x14ac:dyDescent="0.35">
      <c r="A12" s="76">
        <v>43405</v>
      </c>
      <c r="B12" s="77">
        <v>4475745.5578699894</v>
      </c>
      <c r="C12" s="77">
        <v>188683.88114000042</v>
      </c>
      <c r="D12" s="77">
        <v>4571204.48602999</v>
      </c>
      <c r="E12" s="78">
        <v>14.678617478070411</v>
      </c>
      <c r="F12" s="79">
        <v>43405</v>
      </c>
      <c r="G12" s="80">
        <v>3343508.6620300082</v>
      </c>
      <c r="H12" s="80">
        <v>282975.75282442389</v>
      </c>
      <c r="I12" s="80">
        <v>3424052.3761244323</v>
      </c>
      <c r="J12" s="90">
        <v>7.6779358991524811</v>
      </c>
      <c r="K12" s="82">
        <f t="shared" si="0"/>
        <v>94291.871684423473</v>
      </c>
      <c r="L12" s="82">
        <f t="shared" si="1"/>
        <v>-1132236.8958399813</v>
      </c>
      <c r="M12" s="83">
        <f t="shared" si="2"/>
        <v>-0.38236218890079676</v>
      </c>
      <c r="N12" s="84">
        <f t="shared" si="3"/>
        <v>8.2643523445372777E-2</v>
      </c>
      <c r="O12" s="84">
        <f t="shared" si="4"/>
        <v>4.1276622324955103E-2</v>
      </c>
      <c r="P12" s="71"/>
    </row>
    <row r="13" spans="1:16" ht="15" x14ac:dyDescent="0.35">
      <c r="A13" s="79">
        <v>43435</v>
      </c>
      <c r="B13" s="85">
        <v>4182901.6513899961</v>
      </c>
      <c r="C13" s="85">
        <v>141868.36991999968</v>
      </c>
      <c r="D13" s="85">
        <v>4242844.1013999954</v>
      </c>
      <c r="E13" s="86">
        <v>15.062462298989329</v>
      </c>
      <c r="F13" s="87">
        <v>43435</v>
      </c>
      <c r="G13" s="88">
        <v>3407819.2201699815</v>
      </c>
      <c r="H13" s="88">
        <v>259680.44567760904</v>
      </c>
      <c r="I13" s="88">
        <v>3446995.35326759</v>
      </c>
      <c r="J13" s="89">
        <v>-14.831063149750515</v>
      </c>
      <c r="K13" s="82">
        <f t="shared" si="0"/>
        <v>117812.07575760936</v>
      </c>
      <c r="L13" s="82">
        <f t="shared" si="1"/>
        <v>-775082.43122001458</v>
      </c>
      <c r="M13" s="83">
        <f t="shared" si="2"/>
        <v>0.2494404199749416</v>
      </c>
      <c r="N13" s="84">
        <f t="shared" si="3"/>
        <v>7.5335304827563565E-2</v>
      </c>
      <c r="O13" s="84">
        <f t="shared" si="4"/>
        <v>3.3437092320499802E-2</v>
      </c>
      <c r="P13" s="71"/>
    </row>
    <row r="14" spans="1:16" ht="15" x14ac:dyDescent="0.35">
      <c r="A14" s="76">
        <v>43466</v>
      </c>
      <c r="B14" s="77">
        <v>4302194.8375599841</v>
      </c>
      <c r="C14" s="77">
        <v>142707.39970000001</v>
      </c>
      <c r="D14" s="77">
        <v>4391268.1526599834</v>
      </c>
      <c r="E14" s="78">
        <v>10.168476174753996</v>
      </c>
      <c r="F14" s="79">
        <v>43466</v>
      </c>
      <c r="G14" s="80">
        <v>3066110.4821199849</v>
      </c>
      <c r="H14" s="80">
        <v>205063.21214556997</v>
      </c>
      <c r="I14" s="80">
        <v>3151909.3049655547</v>
      </c>
      <c r="J14" s="81">
        <v>-6.3677179140607567</v>
      </c>
      <c r="K14" s="82">
        <f t="shared" si="0"/>
        <v>62355.812445569958</v>
      </c>
      <c r="L14" s="82">
        <f t="shared" si="1"/>
        <v>-1236084.3554399991</v>
      </c>
      <c r="M14" s="83">
        <f t="shared" si="2"/>
        <v>-0.47071798841858148</v>
      </c>
      <c r="N14" s="84">
        <f t="shared" si="3"/>
        <v>6.5059997704410774E-2</v>
      </c>
      <c r="O14" s="84">
        <f t="shared" si="4"/>
        <v>3.2497992547678031E-2</v>
      </c>
      <c r="P14" s="71"/>
    </row>
    <row r="15" spans="1:16" ht="15" x14ac:dyDescent="0.35">
      <c r="A15" s="79">
        <v>43497</v>
      </c>
      <c r="B15" s="85">
        <v>3951256.6029000147</v>
      </c>
      <c r="C15" s="85">
        <v>136775.08708000006</v>
      </c>
      <c r="D15" s="85">
        <v>4052677.4323500148</v>
      </c>
      <c r="E15" s="86">
        <v>9.6018486538473091</v>
      </c>
      <c r="F15" s="87">
        <v>43497</v>
      </c>
      <c r="G15" s="88">
        <v>3183071.4046500088</v>
      </c>
      <c r="H15" s="88">
        <v>229651.48498955905</v>
      </c>
      <c r="I15" s="88">
        <v>3245482.7844595681</v>
      </c>
      <c r="J15" s="89">
        <v>4.6231975109290477</v>
      </c>
      <c r="K15" s="82">
        <f t="shared" si="0"/>
        <v>92876.397909558989</v>
      </c>
      <c r="L15" s="82">
        <f t="shared" si="1"/>
        <v>-768185.19825000595</v>
      </c>
      <c r="M15" s="83">
        <f t="shared" si="2"/>
        <v>0.48945854872198602</v>
      </c>
      <c r="N15" s="84">
        <f t="shared" si="3"/>
        <v>7.0760346069067254E-2</v>
      </c>
      <c r="O15" s="84">
        <f t="shared" si="4"/>
        <v>3.3749314956134729E-2</v>
      </c>
      <c r="P15" s="71"/>
    </row>
    <row r="16" spans="1:16" ht="15" x14ac:dyDescent="0.35">
      <c r="A16" s="76">
        <v>43525</v>
      </c>
      <c r="B16" s="77">
        <v>4301094.9784299713</v>
      </c>
      <c r="C16" s="77">
        <v>109027.78057999998</v>
      </c>
      <c r="D16" s="77">
        <v>4360430.1523799719</v>
      </c>
      <c r="E16" s="78">
        <v>9.3469163115030653</v>
      </c>
      <c r="F16" s="79">
        <v>43525</v>
      </c>
      <c r="G16" s="80">
        <v>3344850.1140000001</v>
      </c>
      <c r="H16" s="80">
        <v>212370.618889829</v>
      </c>
      <c r="I16" s="80">
        <v>3383873.243259829</v>
      </c>
      <c r="J16" s="90">
        <v>-0.19335392447079092</v>
      </c>
      <c r="K16" s="82">
        <f t="shared" si="0"/>
        <v>103342.83830982902</v>
      </c>
      <c r="L16" s="82">
        <f t="shared" si="1"/>
        <v>-956244.8644299712</v>
      </c>
      <c r="M16" s="83">
        <f t="shared" si="2"/>
        <v>0.11269214392295912</v>
      </c>
      <c r="N16" s="84">
        <f t="shared" si="3"/>
        <v>6.2759625914723491E-2</v>
      </c>
      <c r="O16" s="84">
        <f t="shared" si="4"/>
        <v>2.5003904837345322E-2</v>
      </c>
      <c r="P16" s="71"/>
    </row>
    <row r="17" spans="1:16" ht="15" x14ac:dyDescent="0.35">
      <c r="A17" s="79">
        <v>43556</v>
      </c>
      <c r="B17" s="85">
        <v>4528480.4482600186</v>
      </c>
      <c r="C17" s="85">
        <v>151982.51885999981</v>
      </c>
      <c r="D17" s="85">
        <v>4630446.9673600178</v>
      </c>
      <c r="E17" s="86">
        <v>7.4336259099605337</v>
      </c>
      <c r="F17" s="87">
        <v>43556</v>
      </c>
      <c r="G17" s="88">
        <v>3862819.2069999999</v>
      </c>
      <c r="H17" s="88">
        <v>343222.29472990491</v>
      </c>
      <c r="I17" s="88">
        <v>3935510.4926299048</v>
      </c>
      <c r="J17" s="89">
        <v>1.2732312211659302</v>
      </c>
      <c r="K17" s="82">
        <f t="shared" si="0"/>
        <v>191239.7758699051</v>
      </c>
      <c r="L17" s="82">
        <f t="shared" si="1"/>
        <v>-665661.24126001867</v>
      </c>
      <c r="M17" s="83">
        <f t="shared" si="2"/>
        <v>0.85053728925612582</v>
      </c>
      <c r="N17" s="84">
        <f t="shared" si="3"/>
        <v>8.7211632486474872E-2</v>
      </c>
      <c r="O17" s="84">
        <f t="shared" si="4"/>
        <v>3.2822429439603416E-2</v>
      </c>
      <c r="P17" s="71"/>
    </row>
    <row r="18" spans="1:16" ht="15" x14ac:dyDescent="0.35">
      <c r="A18" s="76">
        <v>43586</v>
      </c>
      <c r="B18" s="77">
        <v>4788921.1703700079</v>
      </c>
      <c r="C18" s="77">
        <v>142701.62988999987</v>
      </c>
      <c r="D18" s="77">
        <v>4818816.9427900063</v>
      </c>
      <c r="E18" s="78">
        <v>5.8857068823414664</v>
      </c>
      <c r="F18" s="79">
        <v>43586</v>
      </c>
      <c r="G18" s="80">
        <v>3748341.8309999998</v>
      </c>
      <c r="H18" s="80">
        <v>265687.82152801409</v>
      </c>
      <c r="I18" s="80">
        <v>3853558.5053880145</v>
      </c>
      <c r="J18" s="90">
        <v>2.9303374097138</v>
      </c>
      <c r="K18" s="82">
        <f t="shared" si="0"/>
        <v>122986.19163801422</v>
      </c>
      <c r="L18" s="82">
        <f t="shared" si="1"/>
        <v>-1040579.3393700081</v>
      </c>
      <c r="M18" s="83">
        <f t="shared" si="2"/>
        <v>-0.35690056590696817</v>
      </c>
      <c r="N18" s="84">
        <f t="shared" si="3"/>
        <v>6.8946097783783869E-2</v>
      </c>
      <c r="O18" s="84">
        <f t="shared" si="4"/>
        <v>2.9613415820559943E-2</v>
      </c>
      <c r="P18" s="71"/>
    </row>
    <row r="19" spans="1:16" ht="15" x14ac:dyDescent="0.35">
      <c r="A19" s="79">
        <v>43617</v>
      </c>
      <c r="B19" s="85">
        <v>3983219.6117299935</v>
      </c>
      <c r="C19" s="85">
        <v>129305.54490999987</v>
      </c>
      <c r="D19" s="85">
        <v>4017580.7137499927</v>
      </c>
      <c r="E19" s="86">
        <v>-5.9443163009813098</v>
      </c>
      <c r="F19" s="87">
        <v>43617</v>
      </c>
      <c r="G19" s="88">
        <v>3096362.5109999999</v>
      </c>
      <c r="H19" s="88">
        <v>202959.33949741506</v>
      </c>
      <c r="I19" s="88">
        <v>3134260.0243574153</v>
      </c>
      <c r="J19" s="89">
        <v>-8.8141315993971379</v>
      </c>
      <c r="K19" s="82">
        <f t="shared" si="0"/>
        <v>73653.794587415192</v>
      </c>
      <c r="L19" s="82">
        <f t="shared" si="1"/>
        <v>-886857.10072999354</v>
      </c>
      <c r="M19" s="83">
        <f t="shared" si="2"/>
        <v>-0.40112142992279398</v>
      </c>
      <c r="N19" s="84">
        <f t="shared" si="3"/>
        <v>6.4755105804926216E-2</v>
      </c>
      <c r="O19" s="84">
        <f t="shared" si="4"/>
        <v>3.2184927727141197E-2</v>
      </c>
      <c r="P19" s="71"/>
    </row>
    <row r="20" spans="1:16" ht="15" x14ac:dyDescent="0.35">
      <c r="A20" s="76">
        <v>43647</v>
      </c>
      <c r="B20" s="77">
        <v>4565019.080749983</v>
      </c>
      <c r="C20" s="77">
        <v>93253.399909999993</v>
      </c>
      <c r="D20" s="77">
        <v>4535671.1240699822</v>
      </c>
      <c r="E20" s="78">
        <v>3.234129342025549</v>
      </c>
      <c r="F20" s="79">
        <v>43647</v>
      </c>
      <c r="G20" s="80">
        <v>3255829.8390000002</v>
      </c>
      <c r="H20" s="80">
        <v>282740.74694778811</v>
      </c>
      <c r="I20" s="80">
        <v>3345957.305507788</v>
      </c>
      <c r="J20" s="90">
        <v>-9.7202910748997482</v>
      </c>
      <c r="K20" s="82">
        <f t="shared" si="0"/>
        <v>189487.34703778813</v>
      </c>
      <c r="L20" s="82">
        <f t="shared" si="1"/>
        <v>-1309189.2417499828</v>
      </c>
      <c r="M20" s="83">
        <f t="shared" si="2"/>
        <v>1.5726759646157427</v>
      </c>
      <c r="N20" s="84">
        <f t="shared" si="3"/>
        <v>8.4502198065219761E-2</v>
      </c>
      <c r="O20" s="84">
        <f t="shared" si="4"/>
        <v>2.05600003525655E-2</v>
      </c>
      <c r="P20" s="71"/>
    </row>
    <row r="21" spans="1:16" ht="15" x14ac:dyDescent="0.35">
      <c r="A21" s="79">
        <v>43678</v>
      </c>
      <c r="B21" s="85">
        <v>4913076.378640024</v>
      </c>
      <c r="C21" s="85">
        <v>123220.17359999989</v>
      </c>
      <c r="D21" s="85">
        <v>4951409.9617700223</v>
      </c>
      <c r="E21" s="86">
        <v>7.3932093886684171</v>
      </c>
      <c r="F21" s="87">
        <v>43678</v>
      </c>
      <c r="G21" s="88">
        <v>3264261.2429999998</v>
      </c>
      <c r="H21" s="88">
        <v>273735.86523753597</v>
      </c>
      <c r="I21" s="88">
        <v>3338994.2121875356</v>
      </c>
      <c r="J21" s="89">
        <v>-10.69678032610568</v>
      </c>
      <c r="K21" s="82">
        <f t="shared" si="0"/>
        <v>150515.69163753607</v>
      </c>
      <c r="L21" s="82">
        <f t="shared" si="1"/>
        <v>-1648815.1356400242</v>
      </c>
      <c r="M21" s="83">
        <f t="shared" si="2"/>
        <v>-0.20566890618021172</v>
      </c>
      <c r="N21" s="84">
        <f t="shared" si="3"/>
        <v>8.1981533312751223E-2</v>
      </c>
      <c r="O21" s="84">
        <f t="shared" si="4"/>
        <v>2.4885875851805118E-2</v>
      </c>
      <c r="P21" s="71"/>
    </row>
    <row r="22" spans="1:16" ht="15" x14ac:dyDescent="0.35">
      <c r="A22" s="76">
        <v>43709</v>
      </c>
      <c r="B22" s="77">
        <v>4200369.7586699994</v>
      </c>
      <c r="C22" s="77">
        <v>101277.78756532891</v>
      </c>
      <c r="D22" s="77">
        <v>4211475.1542353295</v>
      </c>
      <c r="E22" s="78">
        <v>2.8870905372357174</v>
      </c>
      <c r="F22" s="79">
        <v>43709</v>
      </c>
      <c r="G22" s="80">
        <v>3067348.8299400001</v>
      </c>
      <c r="H22" s="80">
        <v>257445.92352575611</v>
      </c>
      <c r="I22" s="80">
        <v>3134563.3423357564</v>
      </c>
      <c r="J22" s="90">
        <v>-11.518972463356612</v>
      </c>
      <c r="K22" s="82">
        <f t="shared" si="0"/>
        <v>156168.1359604272</v>
      </c>
      <c r="L22" s="82">
        <f t="shared" si="1"/>
        <v>-1133020.9287299993</v>
      </c>
      <c r="M22" s="83">
        <f t="shared" si="2"/>
        <v>3.7553854095844219E-2</v>
      </c>
      <c r="N22" s="84">
        <f t="shared" si="3"/>
        <v>8.2131351454495502E-2</v>
      </c>
      <c r="O22" s="84">
        <f t="shared" si="4"/>
        <v>2.4048055338395494E-2</v>
      </c>
      <c r="P22" s="71"/>
    </row>
    <row r="23" spans="1:16" ht="15" x14ac:dyDescent="0.35">
      <c r="A23" s="79">
        <v>43739</v>
      </c>
      <c r="B23" s="85">
        <v>4333341.2266499856</v>
      </c>
      <c r="C23" s="85">
        <v>94733.333450000006</v>
      </c>
      <c r="D23" s="85">
        <v>4333545.0819899859</v>
      </c>
      <c r="E23" s="86">
        <v>-17.568894052465474</v>
      </c>
      <c r="F23" s="87">
        <v>43739</v>
      </c>
      <c r="G23" s="88">
        <v>3326497.1839999999</v>
      </c>
      <c r="H23" s="88">
        <v>271563.05793097091</v>
      </c>
      <c r="I23" s="88">
        <v>3411804.9464709712</v>
      </c>
      <c r="J23" s="89">
        <v>-11.869565900416827</v>
      </c>
      <c r="K23" s="82">
        <f t="shared" si="0"/>
        <v>176829.72448097091</v>
      </c>
      <c r="L23" s="82">
        <f t="shared" si="1"/>
        <v>-1006844.0426499858</v>
      </c>
      <c r="M23" s="83">
        <f t="shared" si="2"/>
        <v>0.13230348427658334</v>
      </c>
      <c r="N23" s="84">
        <f t="shared" si="3"/>
        <v>7.9595129906785675E-2</v>
      </c>
      <c r="O23" s="84">
        <f t="shared" si="4"/>
        <v>2.18604702749505E-2</v>
      </c>
      <c r="P23" s="71"/>
    </row>
    <row r="24" spans="1:16" ht="15" x14ac:dyDescent="0.35">
      <c r="A24" s="76">
        <v>43770</v>
      </c>
      <c r="B24" s="77">
        <v>4757280.2943400145</v>
      </c>
      <c r="C24" s="77">
        <v>85744.444690000179</v>
      </c>
      <c r="D24" s="77">
        <v>4788494.8104400421</v>
      </c>
      <c r="E24" s="78">
        <v>4.75345885475285</v>
      </c>
      <c r="F24" s="79">
        <v>43770</v>
      </c>
      <c r="G24" s="80">
        <v>2943624.7050000001</v>
      </c>
      <c r="H24" s="80">
        <v>199610.10750972101</v>
      </c>
      <c r="I24" s="80">
        <v>2982710.9464797205</v>
      </c>
      <c r="J24" s="90">
        <v>-12.889447390528852</v>
      </c>
      <c r="K24" s="82">
        <f t="shared" si="0"/>
        <v>113865.66281972083</v>
      </c>
      <c r="L24" s="82">
        <f t="shared" si="1"/>
        <v>-1813655.5893400144</v>
      </c>
      <c r="M24" s="83">
        <f t="shared" si="2"/>
        <v>-0.35607170596494253</v>
      </c>
      <c r="N24" s="84">
        <f t="shared" si="3"/>
        <v>6.6922377357855098E-2</v>
      </c>
      <c r="O24" s="84">
        <f t="shared" si="4"/>
        <v>1.7906345957200826E-2</v>
      </c>
      <c r="P24" s="71"/>
    </row>
    <row r="25" spans="1:16" ht="15" x14ac:dyDescent="0.35">
      <c r="A25" s="79">
        <v>43800</v>
      </c>
      <c r="B25" s="85">
        <v>4078369.8837899836</v>
      </c>
      <c r="C25" s="85">
        <v>79117.837980000069</v>
      </c>
      <c r="D25" s="85">
        <v>4116800.6434999835</v>
      </c>
      <c r="E25" s="86">
        <v>-2.9707303612315572</v>
      </c>
      <c r="F25" s="87">
        <v>43800</v>
      </c>
      <c r="G25" s="88">
        <v>3330050.5140900002</v>
      </c>
      <c r="H25" s="88">
        <v>267322.245939088</v>
      </c>
      <c r="I25" s="88">
        <v>3352831.0056190882</v>
      </c>
      <c r="J25" s="89">
        <v>-2.7317805218170217</v>
      </c>
      <c r="K25" s="82">
        <f t="shared" si="0"/>
        <v>188204.40795908793</v>
      </c>
      <c r="L25" s="82">
        <f t="shared" si="1"/>
        <v>-748319.36969998339</v>
      </c>
      <c r="M25" s="83">
        <f t="shared" si="2"/>
        <v>0.65286358765648944</v>
      </c>
      <c r="N25" s="84">
        <f t="shared" si="3"/>
        <v>7.9730307161642311E-2</v>
      </c>
      <c r="O25" s="84">
        <f t="shared" si="4"/>
        <v>1.9218282552719481E-2</v>
      </c>
      <c r="P25" s="71"/>
    </row>
    <row r="26" spans="1:16" ht="15" x14ac:dyDescent="0.35">
      <c r="A26" s="125">
        <v>43831</v>
      </c>
      <c r="B26" s="124">
        <v>4329618.2980000004</v>
      </c>
      <c r="C26" s="124">
        <v>97135.305289999727</v>
      </c>
      <c r="D26" s="124">
        <v>4380452.6455499986</v>
      </c>
      <c r="E26" s="123">
        <f t="shared" ref="E26" si="5">+(D26-D14)/D14*100</f>
        <v>-0.2462957563507783</v>
      </c>
      <c r="F26" s="130">
        <v>43831</v>
      </c>
      <c r="G26" s="127">
        <v>3419465.6399399899</v>
      </c>
      <c r="H26" s="127">
        <v>219869.38277927903</v>
      </c>
      <c r="I26" s="127">
        <v>3514636.5705692694</v>
      </c>
      <c r="J26" s="131">
        <v>11.508175854941946</v>
      </c>
      <c r="K26" s="82">
        <f t="shared" si="0"/>
        <v>122734.0774892793</v>
      </c>
      <c r="L26" s="82">
        <f t="shared" si="1"/>
        <v>-910152.65806001052</v>
      </c>
      <c r="M26" s="83">
        <f t="shared" si="2"/>
        <v>-0.3478682097819974</v>
      </c>
      <c r="N26" s="84">
        <f t="shared" si="3"/>
        <v>6.2558212880504616E-2</v>
      </c>
      <c r="O26" s="84">
        <f t="shared" si="4"/>
        <v>2.2174718721974372E-2</v>
      </c>
      <c r="P26" s="71"/>
    </row>
    <row r="27" spans="1:16" ht="15" x14ac:dyDescent="0.35">
      <c r="A27" s="122">
        <v>43862</v>
      </c>
      <c r="B27" s="121">
        <v>3968438.18</v>
      </c>
      <c r="C27" s="121">
        <v>111287.70225000007</v>
      </c>
      <c r="D27" s="121">
        <v>4003937.8238900001</v>
      </c>
      <c r="E27" s="120">
        <f>+(D27-D15)/D15*100</f>
        <v>-1.2026520559212674</v>
      </c>
      <c r="F27" s="132">
        <v>43862</v>
      </c>
      <c r="G27" s="128">
        <v>2943625.8082699999</v>
      </c>
      <c r="H27" s="128">
        <v>225381.12170033992</v>
      </c>
      <c r="I27" s="128">
        <v>3001419.7412703396</v>
      </c>
      <c r="J27" s="133">
        <v>-7.5200843571835332</v>
      </c>
      <c r="K27" s="82">
        <f t="shared" si="0"/>
        <v>114093.41945033985</v>
      </c>
      <c r="L27" s="82">
        <f t="shared" si="1"/>
        <v>-1024812.3717300002</v>
      </c>
      <c r="M27" s="83">
        <f t="shared" si="2"/>
        <v>-7.0401458304798825E-2</v>
      </c>
      <c r="N27" s="84">
        <f t="shared" si="3"/>
        <v>7.509150373114698E-2</v>
      </c>
      <c r="O27" s="84">
        <f t="shared" si="4"/>
        <v>2.7794563038913332E-2</v>
      </c>
      <c r="P27" s="71"/>
    </row>
    <row r="28" spans="1:16" ht="15" x14ac:dyDescent="0.35">
      <c r="A28" s="125">
        <v>43891</v>
      </c>
      <c r="B28" s="124">
        <v>3587700.0836999998</v>
      </c>
      <c r="C28" s="124">
        <v>120549.19008000006</v>
      </c>
      <c r="D28" s="124">
        <v>3646462.0221599997</v>
      </c>
      <c r="E28" s="123">
        <f>+(D28-D16)/D16*100</f>
        <v>-16.373800411188341</v>
      </c>
      <c r="F28" s="129">
        <v>43891</v>
      </c>
      <c r="G28" s="127">
        <v>2439035.5948800002</v>
      </c>
      <c r="H28" s="127">
        <v>196449.52228775501</v>
      </c>
      <c r="I28" s="127">
        <v>2512417.908867755</v>
      </c>
      <c r="J28" s="134">
        <v>-25.753190848028463</v>
      </c>
      <c r="K28" s="82">
        <f t="shared" si="0"/>
        <v>75900.332207754953</v>
      </c>
      <c r="L28" s="82">
        <f t="shared" si="1"/>
        <v>-1148664.4888199996</v>
      </c>
      <c r="M28" s="83">
        <f t="shared" si="2"/>
        <v>-0.33475276161048684</v>
      </c>
      <c r="N28" s="84">
        <f t="shared" si="3"/>
        <v>7.8191419347224303E-2</v>
      </c>
      <c r="O28" s="84">
        <f t="shared" si="4"/>
        <v>3.3059219963736834E-2</v>
      </c>
      <c r="P28" s="71"/>
    </row>
    <row r="29" spans="1:16" ht="15" x14ac:dyDescent="0.35">
      <c r="A29" s="122">
        <v>43922</v>
      </c>
      <c r="B29" s="121">
        <v>3096767.4759999998</v>
      </c>
      <c r="C29" s="121">
        <v>73162.679189999937</v>
      </c>
      <c r="D29" s="121">
        <v>3148025.5688700005</v>
      </c>
      <c r="E29" s="120">
        <f>+(D29-D17)/D17*100</f>
        <v>-32.014650182576183</v>
      </c>
      <c r="F29" s="126">
        <v>43922</v>
      </c>
      <c r="G29" s="128">
        <v>1864238.82599</v>
      </c>
      <c r="H29" s="128">
        <v>135332.46343207799</v>
      </c>
      <c r="I29" s="128">
        <v>1933521.7011920779</v>
      </c>
      <c r="J29" s="135">
        <v>-50.869862885310155</v>
      </c>
      <c r="K29" s="82">
        <f t="shared" si="0"/>
        <v>62169.784242078051</v>
      </c>
      <c r="L29" s="82">
        <f t="shared" si="1"/>
        <v>-1232528.6500099998</v>
      </c>
      <c r="M29" s="83">
        <f t="shared" si="2"/>
        <v>-0.18090234345870249</v>
      </c>
      <c r="N29" s="84">
        <f t="shared" si="3"/>
        <v>6.9992730543774709E-2</v>
      </c>
      <c r="O29" s="84">
        <f t="shared" si="4"/>
        <v>2.3240814786730606E-2</v>
      </c>
      <c r="P29" s="71"/>
    </row>
    <row r="30" spans="1:16" ht="15" x14ac:dyDescent="0.35">
      <c r="A30" s="125">
        <v>43952</v>
      </c>
      <c r="B30" s="124">
        <v>2877325.9831999997</v>
      </c>
      <c r="C30" s="124">
        <v>85719.627180000025</v>
      </c>
      <c r="D30" s="124">
        <v>2934295.4053999996</v>
      </c>
      <c r="E30" s="123">
        <f>+(D30-D18)/D18*100</f>
        <v>-39.107556061237375</v>
      </c>
      <c r="F30" s="129">
        <v>43952</v>
      </c>
      <c r="G30" s="127">
        <v>2221171.50324</v>
      </c>
      <c r="H30" s="127">
        <v>157649.032602397</v>
      </c>
      <c r="I30" s="127">
        <v>2258080.9055623971</v>
      </c>
      <c r="J30" s="134">
        <v>-41.402708628786442</v>
      </c>
      <c r="K30" s="82">
        <f>H30-C30</f>
        <v>71929.405422396972</v>
      </c>
      <c r="L30" s="82">
        <f t="shared" si="1"/>
        <v>-656154.47995999968</v>
      </c>
      <c r="M30" s="83">
        <f>K30/K29-1</f>
        <v>0.1569833529149256</v>
      </c>
      <c r="N30" s="84">
        <f t="shared" si="3"/>
        <v>6.9815493419237332E-2</v>
      </c>
      <c r="O30" s="84">
        <f>C30/D30</f>
        <v>2.9213018914949644E-2</v>
      </c>
      <c r="P30" s="95">
        <f>K30/K29-1</f>
        <v>0.1569833529149256</v>
      </c>
    </row>
    <row r="31" spans="1:16" ht="15" x14ac:dyDescent="0.35">
      <c r="A31" s="122">
        <v>43983</v>
      </c>
      <c r="B31" s="121">
        <v>2898650.6790999998</v>
      </c>
      <c r="C31" s="121">
        <v>57125.715240000012</v>
      </c>
      <c r="D31" s="121">
        <v>2927019.6866599997</v>
      </c>
      <c r="E31" s="120">
        <v>-27.144719790136289</v>
      </c>
      <c r="F31" s="126">
        <v>43983</v>
      </c>
      <c r="G31" s="128">
        <v>2289482.0783899999</v>
      </c>
      <c r="H31" s="128">
        <v>206157.232965414</v>
      </c>
      <c r="I31" s="128">
        <v>2354729.8995054141</v>
      </c>
      <c r="J31" s="135">
        <v>-24.871265268165494</v>
      </c>
      <c r="K31" s="82">
        <f>H31-C31</f>
        <v>149031.51772541399</v>
      </c>
      <c r="N31" s="84">
        <f t="shared" ref="N31:N32" si="6">H31/I31</f>
        <v>8.7550267658602854E-2</v>
      </c>
      <c r="O31" s="84">
        <f t="shared" ref="O31:O32" si="7">C31/D31</f>
        <v>1.9516682959240955E-2</v>
      </c>
      <c r="P31" s="95">
        <f>K31/K30-1</f>
        <v>1.071913661043685</v>
      </c>
    </row>
    <row r="32" spans="1:16" ht="15" x14ac:dyDescent="0.35">
      <c r="A32" s="125">
        <v>44013</v>
      </c>
      <c r="B32" s="124">
        <v>3646137.4366000001</v>
      </c>
      <c r="C32" s="124">
        <v>66943.713189999966</v>
      </c>
      <c r="D32" s="124">
        <v>3670102.2713799998</v>
      </c>
      <c r="E32" s="123">
        <v>-19.083589374383116</v>
      </c>
      <c r="F32" s="129">
        <v>44013</v>
      </c>
      <c r="G32" s="127">
        <v>2551988.2799299997</v>
      </c>
      <c r="H32" s="127">
        <v>189375.5943541521</v>
      </c>
      <c r="I32" s="127">
        <v>2593466.7785241525</v>
      </c>
      <c r="J32" s="134">
        <v>-22.489543597730894</v>
      </c>
      <c r="K32" s="82">
        <f>H32-C32</f>
        <v>122431.88116415213</v>
      </c>
      <c r="N32" s="84">
        <f t="shared" si="6"/>
        <v>7.3020250701618342E-2</v>
      </c>
      <c r="O32" s="84">
        <f t="shared" si="7"/>
        <v>1.8240285485240273E-2</v>
      </c>
    </row>
    <row r="33" spans="1:15" ht="15" x14ac:dyDescent="0.35">
      <c r="A33" s="122">
        <v>44044</v>
      </c>
      <c r="B33" s="121">
        <v>3571240.5940999999</v>
      </c>
      <c r="C33" s="121">
        <v>77214.187379999988</v>
      </c>
      <c r="D33" s="121">
        <v>3610634.1515099998</v>
      </c>
      <c r="E33" s="120">
        <v>-27.078666897150157</v>
      </c>
      <c r="F33" s="126">
        <v>44044</v>
      </c>
      <c r="G33" s="128">
        <v>2584766.7604899998</v>
      </c>
      <c r="H33" s="128">
        <v>211554.34564999997</v>
      </c>
      <c r="I33" s="128">
        <v>2645918.9299899996</v>
      </c>
      <c r="J33" s="135">
        <v>-20.757007594315922</v>
      </c>
      <c r="N33" s="84">
        <f t="shared" ref="N33" si="8">H33/I33</f>
        <v>7.9954961299891214E-2</v>
      </c>
      <c r="O33" s="84">
        <f t="shared" ref="O33" si="9">C33/D33</f>
        <v>2.1385214934531188E-2</v>
      </c>
    </row>
    <row r="34" spans="1:15" ht="15" x14ac:dyDescent="0.35">
      <c r="A34" s="125">
        <v>44075</v>
      </c>
      <c r="B34" s="124">
        <v>3475831.2908999999</v>
      </c>
      <c r="C34" s="124">
        <v>79601.658150000061</v>
      </c>
      <c r="D34" s="124">
        <v>3521691.5538600003</v>
      </c>
      <c r="E34" s="123">
        <v>-16.378669589956758</v>
      </c>
      <c r="F34" s="129">
        <v>44075</v>
      </c>
      <c r="G34" s="127">
        <v>2544873.6041700002</v>
      </c>
      <c r="H34" s="127">
        <v>229211.03189564706</v>
      </c>
      <c r="I34" s="127">
        <v>2568736.0443856474</v>
      </c>
      <c r="J34" s="134">
        <v>-18.051231899128769</v>
      </c>
      <c r="N34" s="84">
        <f t="shared" ref="N34" si="10">H34/I34</f>
        <v>8.923105680578651E-2</v>
      </c>
      <c r="O34" s="84">
        <f t="shared" ref="O34" si="11">C34/D34</f>
        <v>2.2603245324750696E-2</v>
      </c>
    </row>
    <row r="35" spans="1:15" ht="15" x14ac:dyDescent="0.35">
      <c r="A35" s="122">
        <v>44105</v>
      </c>
      <c r="B35" s="121">
        <v>3706257.3970900527</v>
      </c>
      <c r="C35" s="121">
        <v>80565.926060000143</v>
      </c>
      <c r="D35" s="121">
        <v>3745955.9051700528</v>
      </c>
      <c r="E35" s="120">
        <v>-13.559087668475675</v>
      </c>
      <c r="F35" s="126">
        <v>44105</v>
      </c>
      <c r="G35" s="128">
        <v>2644953.5028400002</v>
      </c>
      <c r="H35" s="128">
        <v>222023.00235140405</v>
      </c>
      <c r="I35" s="128">
        <v>2699294.2350014043</v>
      </c>
      <c r="J35" s="135">
        <v>-20.883688330616852</v>
      </c>
      <c r="N35" s="84">
        <f t="shared" ref="N35" si="12">H35/I35</f>
        <v>8.2252241890661673E-2</v>
      </c>
      <c r="O35" s="84">
        <f t="shared" ref="O35" si="13">C35/D35</f>
        <v>2.1507441117714583E-2</v>
      </c>
    </row>
    <row r="36" spans="1:15" ht="15" x14ac:dyDescent="0.35">
      <c r="A36" s="125">
        <v>44136</v>
      </c>
      <c r="B36" s="124">
        <v>4188167.3131999997</v>
      </c>
      <c r="C36" s="124">
        <v>88734.86692999996</v>
      </c>
      <c r="D36" s="124">
        <v>4238404.9136699988</v>
      </c>
      <c r="E36" s="123">
        <v>-11.487741316346805</v>
      </c>
      <c r="F36" s="129">
        <v>44136</v>
      </c>
      <c r="G36" s="127">
        <v>2523371.8750300002</v>
      </c>
      <c r="H36" s="127">
        <v>186134.92737361573</v>
      </c>
      <c r="I36" s="127">
        <v>2575469.3567836159</v>
      </c>
      <c r="J36" s="134">
        <v>-13.653404470075872</v>
      </c>
      <c r="N36" s="84">
        <f t="shared" ref="N36" si="14">H36/I36</f>
        <v>7.2272235304741111E-2</v>
      </c>
      <c r="O36" s="84">
        <f t="shared" ref="O36" si="15">C36/D36</f>
        <v>2.0935910734674285E-2</v>
      </c>
    </row>
    <row r="37" spans="1:15" ht="15" x14ac:dyDescent="0.35">
      <c r="A37" s="122">
        <v>44166</v>
      </c>
      <c r="B37" s="121">
        <v>4142527.2749000001</v>
      </c>
      <c r="C37" s="121">
        <v>115240.91416</v>
      </c>
      <c r="D37" s="121">
        <v>4204141.9823200004</v>
      </c>
      <c r="E37" s="120">
        <v>2.1215829082690796</v>
      </c>
      <c r="F37" s="126">
        <v>44166</v>
      </c>
      <c r="G37" s="128">
        <v>3028837.18652</v>
      </c>
      <c r="H37" s="128">
        <v>247743.56490300669</v>
      </c>
      <c r="I37" s="128">
        <v>3089543.4265730064</v>
      </c>
      <c r="J37" s="135">
        <v>-7.8526945916698967</v>
      </c>
      <c r="N37" s="84">
        <f t="shared" ref="N37:N38" si="16">H37/I37</f>
        <v>8.0187759386120563E-2</v>
      </c>
      <c r="O37" s="84">
        <f t="shared" ref="O37:O38" si="17">C37/D37</f>
        <v>2.7411280267086939E-2</v>
      </c>
    </row>
    <row r="38" spans="1:15" ht="15" x14ac:dyDescent="0.35">
      <c r="A38" s="125">
        <v>44197</v>
      </c>
      <c r="B38" s="124">
        <v>3822025.2034</v>
      </c>
      <c r="C38" s="124">
        <v>124894.34489000008</v>
      </c>
      <c r="D38" s="124">
        <v>3889791.4378499999</v>
      </c>
      <c r="E38" s="123">
        <v>-11.201153101809606</v>
      </c>
      <c r="F38" s="129">
        <v>44197</v>
      </c>
      <c r="G38" s="127">
        <v>2610936.4224299998</v>
      </c>
      <c r="H38" s="127">
        <v>203188.51780033179</v>
      </c>
      <c r="I38" s="127">
        <v>2687944.2548003318</v>
      </c>
      <c r="J38" s="134">
        <v>-23.52141677155079</v>
      </c>
      <c r="N38" s="84">
        <f t="shared" si="16"/>
        <v>7.5592534122485067E-2</v>
      </c>
      <c r="O38" s="84">
        <f t="shared" si="17"/>
        <v>3.2108236877356283E-2</v>
      </c>
    </row>
    <row r="39" spans="1:15" ht="15" x14ac:dyDescent="0.35">
      <c r="A39" s="122">
        <v>44228</v>
      </c>
      <c r="B39" s="121">
        <v>3904240.7750999997</v>
      </c>
      <c r="C39" s="121">
        <v>112964.0927500001</v>
      </c>
      <c r="D39" s="121">
        <v>3941765.9007899999</v>
      </c>
      <c r="E39" s="120">
        <v>-1.5527694443466069</v>
      </c>
      <c r="F39" s="126">
        <v>44228</v>
      </c>
      <c r="G39" s="128">
        <v>2938994.1167199998</v>
      </c>
      <c r="H39" s="128">
        <v>212241.95804724257</v>
      </c>
      <c r="I39" s="128">
        <v>2999124.8023672425</v>
      </c>
      <c r="J39" s="135">
        <v>-7.6461778122570365E-2</v>
      </c>
      <c r="N39" s="84">
        <f t="shared" ref="N39" si="18">H39/I39</f>
        <v>7.0767964667464864E-2</v>
      </c>
      <c r="O39" s="84">
        <f t="shared" ref="O39" si="19">C39/D39</f>
        <v>2.8658244957510057E-2</v>
      </c>
    </row>
    <row r="40" spans="1:15" ht="15" x14ac:dyDescent="0.35">
      <c r="A40" s="125">
        <v>44256</v>
      </c>
      <c r="B40" s="124">
        <v>4934783.2136000004</v>
      </c>
      <c r="C40" s="124">
        <v>155170.02955000012</v>
      </c>
      <c r="D40" s="124">
        <v>5007157.2158100018</v>
      </c>
      <c r="E40" s="123">
        <v>37.315490614762723</v>
      </c>
      <c r="F40" s="129">
        <v>44256</v>
      </c>
      <c r="G40" s="127">
        <v>3383554.076379973</v>
      </c>
      <c r="H40" s="127">
        <v>256701.66230017942</v>
      </c>
      <c r="I40" s="127">
        <v>3473390.5478701526</v>
      </c>
      <c r="J40" s="134">
        <v>38.248916934184294</v>
      </c>
      <c r="N40" s="84">
        <f t="shared" ref="N40" si="20">H40/I40</f>
        <v>7.3905211280541505E-2</v>
      </c>
      <c r="O40" s="84">
        <f t="shared" ref="O40" si="21">C40/D40</f>
        <v>3.0989645993150319E-2</v>
      </c>
    </row>
    <row r="41" spans="1:15" ht="15" x14ac:dyDescent="0.35">
      <c r="A41" s="122">
        <v>44287</v>
      </c>
      <c r="B41" s="121">
        <v>4696662.7905999999</v>
      </c>
      <c r="C41" s="121">
        <v>152844.05865000046</v>
      </c>
      <c r="D41" s="121">
        <v>4764455.7511500008</v>
      </c>
      <c r="E41" s="120">
        <v>51.347428631598632</v>
      </c>
      <c r="F41" s="126">
        <v>44287</v>
      </c>
      <c r="G41" s="128">
        <v>2976372.34406</v>
      </c>
      <c r="H41" s="128">
        <v>175987.85</v>
      </c>
      <c r="I41" s="128">
        <v>3031213.4310099999</v>
      </c>
      <c r="J41" s="135">
        <v>56.771627085496888</v>
      </c>
      <c r="N41" s="84">
        <f t="shared" ref="N41" si="22">H41/I41</f>
        <v>5.8058547840810035E-2</v>
      </c>
      <c r="O41" s="84">
        <f t="shared" ref="O41" si="23">C41/D41</f>
        <v>3.2080066776380145E-2</v>
      </c>
    </row>
    <row r="42" spans="1:15" ht="15" x14ac:dyDescent="0.35">
      <c r="A42" s="125">
        <v>44317</v>
      </c>
      <c r="B42" s="124">
        <v>4372151.4794700006</v>
      </c>
      <c r="C42" s="124">
        <v>52983.372970000004</v>
      </c>
      <c r="D42" s="124">
        <v>4374928.9662700007</v>
      </c>
      <c r="E42" s="123">
        <v>49.096405161484256</v>
      </c>
      <c r="F42" s="129">
        <v>44317</v>
      </c>
      <c r="G42" s="127">
        <v>3096913.2780200001</v>
      </c>
      <c r="H42" s="127">
        <v>260164.23967774081</v>
      </c>
      <c r="I42" s="127">
        <v>3158271.8501277408</v>
      </c>
      <c r="J42" s="134">
        <v>39.865309624109443</v>
      </c>
      <c r="N42" s="84">
        <f t="shared" ref="N42" si="24">H42/I42</f>
        <v>8.2375505347083433E-2</v>
      </c>
      <c r="O42" s="84">
        <f t="shared" ref="O42" si="25">C42/D42</f>
        <v>1.2110681882721594E-2</v>
      </c>
    </row>
    <row r="43" spans="1:15" ht="15" x14ac:dyDescent="0.35">
      <c r="A43" s="122">
        <v>44348</v>
      </c>
      <c r="B43" s="121">
        <v>4922854.3818999995</v>
      </c>
      <c r="C43" s="121">
        <v>157075.38867999992</v>
      </c>
      <c r="D43" s="121">
        <v>5004767.088849999</v>
      </c>
      <c r="E43" s="120">
        <v>70.985084646318228</v>
      </c>
      <c r="F43" s="126">
        <v>44348</v>
      </c>
      <c r="G43" s="128">
        <v>3182215.7083100001</v>
      </c>
      <c r="H43" s="128">
        <v>225982.94149830841</v>
      </c>
      <c r="I43" s="128">
        <v>3238270.3708783081</v>
      </c>
      <c r="J43" s="135">
        <v>37.521945576793016</v>
      </c>
      <c r="N43" s="84">
        <f t="shared" ref="N43" si="26">H43/I43</f>
        <v>6.9785075245899136E-2</v>
      </c>
      <c r="O43" s="84">
        <f t="shared" ref="O43" si="27">C43/D43</f>
        <v>3.1385154571916929E-2</v>
      </c>
    </row>
    <row r="44" spans="1:15" ht="15" x14ac:dyDescent="0.35">
      <c r="A44" s="125">
        <v>44378</v>
      </c>
      <c r="B44" s="124">
        <v>4801433.7675000001</v>
      </c>
      <c r="C44" s="124">
        <v>128826.25774000006</v>
      </c>
      <c r="D44" s="124">
        <v>4862542.6639</v>
      </c>
      <c r="E44" s="123">
        <v>32.490658416219802</v>
      </c>
      <c r="F44" s="129">
        <v>44378</v>
      </c>
      <c r="G44" s="127">
        <v>3444157.9091800195</v>
      </c>
      <c r="H44" s="127">
        <v>274860.01683626603</v>
      </c>
      <c r="I44" s="127">
        <v>3540291.3753162855</v>
      </c>
      <c r="J44" s="134">
        <v>36.508067295580972</v>
      </c>
      <c r="N44" s="84">
        <f t="shared" ref="N44" si="28">H44/I44</f>
        <v>7.7637682240691383E-2</v>
      </c>
      <c r="O44" s="84">
        <f t="shared" ref="O44" si="29">C44/D44</f>
        <v>2.6493599469351498E-2</v>
      </c>
    </row>
    <row r="45" spans="1:15" ht="15" x14ac:dyDescent="0.35">
      <c r="A45" s="122">
        <v>44409</v>
      </c>
      <c r="B45" s="121">
        <v>5348466.0020000003</v>
      </c>
      <c r="C45" s="121">
        <v>202710.28883199985</v>
      </c>
      <c r="D45" s="121">
        <v>5462808.6531519992</v>
      </c>
      <c r="E45" s="120">
        <v>51.297761665146922</v>
      </c>
      <c r="F45" s="126">
        <v>44409</v>
      </c>
      <c r="G45" s="128">
        <v>3465142.8749299999</v>
      </c>
      <c r="H45" s="128">
        <v>227588.77814423389</v>
      </c>
      <c r="I45" s="128">
        <v>3577819.1755642337</v>
      </c>
      <c r="J45" s="135">
        <v>35.220287175531723</v>
      </c>
      <c r="N45" s="84">
        <f t="shared" ref="N45:N46" si="30">H45/I45</f>
        <v>6.3611034257577428E-2</v>
      </c>
      <c r="O45" s="84">
        <f t="shared" ref="O45:O46" si="31">C45/D45</f>
        <v>3.7107338313055786E-2</v>
      </c>
    </row>
    <row r="46" spans="1:15" ht="15" x14ac:dyDescent="0.35">
      <c r="A46" s="125">
        <v>44440</v>
      </c>
      <c r="B46" s="124">
        <v>5733283.5482999999</v>
      </c>
      <c r="C46" s="124">
        <v>125557.1364499997</v>
      </c>
      <c r="D46" s="124">
        <v>5787864.4647299992</v>
      </c>
      <c r="E46" s="123">
        <v>64.348989007459451</v>
      </c>
      <c r="F46" s="129">
        <v>44440</v>
      </c>
      <c r="G46" s="127">
        <v>3792235.5309699997</v>
      </c>
      <c r="H46" s="127">
        <v>237482.42108511381</v>
      </c>
      <c r="I46" s="127">
        <v>3855318.5656451136</v>
      </c>
      <c r="J46" s="134">
        <v>50.086209677770611</v>
      </c>
      <c r="N46" s="84">
        <f t="shared" si="30"/>
        <v>6.1598650550262812E-2</v>
      </c>
      <c r="O46" s="84">
        <f t="shared" si="31"/>
        <v>2.1693171499629592E-2</v>
      </c>
    </row>
    <row r="47" spans="1:15" ht="15" x14ac:dyDescent="0.35">
      <c r="A47" s="122">
        <v>44470</v>
      </c>
      <c r="B47" s="121">
        <v>5809885.6806799853</v>
      </c>
      <c r="C47" s="121">
        <v>120283.15057000004</v>
      </c>
      <c r="D47" s="121">
        <v>5854543.1317299856</v>
      </c>
      <c r="E47" s="120">
        <v>56.289696940898978</v>
      </c>
      <c r="F47" s="126">
        <v>44470</v>
      </c>
      <c r="G47" s="128">
        <v>3799111.28602</v>
      </c>
      <c r="H47" s="128">
        <v>167152.63656898393</v>
      </c>
      <c r="I47" s="128">
        <v>3839910.2999489843</v>
      </c>
      <c r="J47" s="135">
        <v>42.256084948330447</v>
      </c>
      <c r="N47" s="84">
        <f t="shared" ref="N47" si="32">H47/I47</f>
        <v>4.3530349282170644E-2</v>
      </c>
      <c r="O47" s="84">
        <f t="shared" ref="O47" si="33">C47/D47</f>
        <v>2.0545266789153714E-2</v>
      </c>
    </row>
    <row r="48" spans="1:15" ht="15" x14ac:dyDescent="0.35">
      <c r="A48" s="125">
        <v>44501</v>
      </c>
      <c r="B48" s="124">
        <v>6545296.6234999998</v>
      </c>
      <c r="C48" s="124">
        <v>154949.38685999991</v>
      </c>
      <c r="D48" s="124">
        <v>6616283.0248400001</v>
      </c>
      <c r="E48" s="123">
        <v>56.103136901826034</v>
      </c>
      <c r="F48" s="129">
        <v>44501</v>
      </c>
      <c r="G48" s="127">
        <v>4155804.6691100001</v>
      </c>
      <c r="H48" s="127">
        <v>299446.45380781248</v>
      </c>
      <c r="I48" s="127">
        <v>4273625.5494778128</v>
      </c>
      <c r="J48" s="134">
        <v>65.935794895845518</v>
      </c>
      <c r="N48" s="84">
        <f t="shared" ref="N48:N49" si="34">H48/I48</f>
        <v>7.0068481747166955E-2</v>
      </c>
      <c r="O48" s="84">
        <f t="shared" ref="O48:O49" si="35">C48/D48</f>
        <v>2.3419401237562237E-2</v>
      </c>
    </row>
    <row r="49" spans="1:15" ht="15" x14ac:dyDescent="0.35">
      <c r="A49" s="122">
        <v>44531</v>
      </c>
      <c r="B49" s="121">
        <v>6210278.7803999996</v>
      </c>
      <c r="C49" s="121">
        <v>198077.0496200005</v>
      </c>
      <c r="D49" s="121">
        <v>6326000.8276600018</v>
      </c>
      <c r="E49" s="120">
        <v>50.470675211808178</v>
      </c>
      <c r="F49" s="126">
        <v>44531</v>
      </c>
      <c r="G49" s="128">
        <v>4544550.8546200003</v>
      </c>
      <c r="H49" s="128">
        <v>236860.51458964116</v>
      </c>
      <c r="I49" s="128">
        <v>4632536.0975496406</v>
      </c>
      <c r="J49" s="135">
        <v>49.942417306888522</v>
      </c>
      <c r="N49" s="84">
        <f t="shared" si="34"/>
        <v>5.1129772030255191E-2</v>
      </c>
      <c r="O49" s="84">
        <f t="shared" si="35"/>
        <v>3.1311575040256438E-2</v>
      </c>
    </row>
    <row r="50" spans="1:15" ht="15" x14ac:dyDescent="0.35">
      <c r="A50" s="199">
        <v>44562</v>
      </c>
      <c r="B50" s="198">
        <v>6050577.5911999997</v>
      </c>
      <c r="C50" s="198">
        <v>140642.20521000001</v>
      </c>
      <c r="D50" s="198">
        <v>6136683.57216</v>
      </c>
      <c r="E50" s="202">
        <v>57.763820251296615</v>
      </c>
      <c r="F50" s="129">
        <v>44562</v>
      </c>
      <c r="G50" s="127">
        <v>3801597.6471799999</v>
      </c>
      <c r="H50" s="127">
        <v>142163.72332934805</v>
      </c>
      <c r="I50" s="127">
        <v>3872089.6187593481</v>
      </c>
      <c r="J50" s="134">
        <v>44.053940547475314</v>
      </c>
      <c r="N50" s="84">
        <f t="shared" ref="N50" si="36">H50/I50</f>
        <v>3.6714987855807575E-2</v>
      </c>
      <c r="O50" s="84">
        <f t="shared" ref="O50" si="37">C50/D50</f>
        <v>2.2918275572826472E-2</v>
      </c>
    </row>
    <row r="51" spans="1:15" ht="15" x14ac:dyDescent="0.35">
      <c r="A51" s="200">
        <v>44593</v>
      </c>
      <c r="B51" s="197">
        <v>5826681.6201999998</v>
      </c>
      <c r="C51" s="197">
        <v>165983.73906999998</v>
      </c>
      <c r="D51" s="197">
        <v>5885286.4581599999</v>
      </c>
      <c r="E51" s="201">
        <v>49.305834143536629</v>
      </c>
      <c r="F51" s="180">
        <v>44593</v>
      </c>
      <c r="G51" s="181">
        <v>4202340.4297700003</v>
      </c>
      <c r="H51" s="181">
        <v>149391.70161476292</v>
      </c>
      <c r="I51" s="181">
        <v>4293623.1173747629</v>
      </c>
      <c r="J51" s="182">
        <v>43.162535749954749</v>
      </c>
      <c r="N51" s="84">
        <f t="shared" ref="N51" si="38">H51/I51</f>
        <v>3.4793855336354026E-2</v>
      </c>
      <c r="O51" s="84">
        <f t="shared" ref="O51" si="39">C51/D51</f>
        <v>2.8203170780219562E-2</v>
      </c>
    </row>
    <row r="52" spans="1:15" ht="15" x14ac:dyDescent="0.3">
      <c r="A52" s="203">
        <v>44621</v>
      </c>
      <c r="B52" s="204">
        <v>7063385.1782999998</v>
      </c>
      <c r="C52" s="204">
        <v>266424.21399000025</v>
      </c>
      <c r="D52" s="204">
        <v>7222075.5504899994</v>
      </c>
      <c r="E52" s="205">
        <v>44.235046738425488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8" sqref="B8"/>
    </sheetView>
  </sheetViews>
  <sheetFormatPr baseColWidth="10" defaultRowHeight="14.4" x14ac:dyDescent="0.3"/>
  <cols>
    <col min="2" max="3" width="13.6640625" bestFit="1" customWidth="1"/>
  </cols>
  <sheetData>
    <row r="1" spans="1:9" x14ac:dyDescent="0.3">
      <c r="H1" s="20"/>
      <c r="I1" s="20"/>
    </row>
    <row r="2" spans="1:9" ht="15" thickBot="1" x14ac:dyDescent="0.35">
      <c r="A2" s="214" t="s">
        <v>142</v>
      </c>
      <c r="B2" s="214"/>
      <c r="C2" s="214"/>
      <c r="E2" s="74">
        <v>1000</v>
      </c>
      <c r="F2" s="74"/>
      <c r="H2" s="21"/>
      <c r="I2" s="21"/>
    </row>
    <row r="3" spans="1:9" x14ac:dyDescent="0.3">
      <c r="A3" s="75"/>
      <c r="B3" s="75">
        <v>2020</v>
      </c>
      <c r="C3" s="75">
        <v>2021</v>
      </c>
      <c r="E3" s="73"/>
      <c r="F3" s="73"/>
      <c r="H3" s="20"/>
      <c r="I3" s="20"/>
    </row>
    <row r="4" spans="1:9" ht="15" hidden="1" thickBot="1" x14ac:dyDescent="0.35">
      <c r="A4" s="75"/>
      <c r="B4" s="75"/>
      <c r="C4" s="75"/>
      <c r="H4" s="21"/>
      <c r="I4" s="21"/>
    </row>
    <row r="5" spans="1:9" ht="15" thickBot="1" x14ac:dyDescent="0.35">
      <c r="A5" s="75" t="s">
        <v>89</v>
      </c>
      <c r="B5" s="178">
        <v>23651.388256999999</v>
      </c>
      <c r="C5" s="178">
        <v>29788.218912999997</v>
      </c>
      <c r="E5" s="70">
        <f>B5/$B$8</f>
        <v>8.734084943390899E-2</v>
      </c>
      <c r="F5" s="70">
        <f>C5/$C$8</f>
        <v>9.5212722370941499E-2</v>
      </c>
    </row>
    <row r="6" spans="1:9" x14ac:dyDescent="0.3">
      <c r="A6" s="75" t="s">
        <v>93</v>
      </c>
      <c r="B6" s="172">
        <v>22174.530898739526</v>
      </c>
      <c r="C6" s="172">
        <v>30106.610994827588</v>
      </c>
      <c r="E6" s="70">
        <f>B6/$B$8</f>
        <v>8.1887047958851308E-2</v>
      </c>
      <c r="F6" s="70">
        <f>C6/$C$8</f>
        <v>9.6230405804136859E-2</v>
      </c>
    </row>
    <row r="7" spans="1:9" x14ac:dyDescent="0.3">
      <c r="A7" s="75" t="s">
        <v>94</v>
      </c>
      <c r="B7" s="100">
        <f>B5-B6</f>
        <v>1476.8573582604731</v>
      </c>
      <c r="C7" s="100">
        <f>C5-C6</f>
        <v>-318.39208182759103</v>
      </c>
      <c r="E7" s="70">
        <f>B7/$B$8</f>
        <v>5.4538014750576836E-3</v>
      </c>
      <c r="F7" s="70">
        <f t="shared" ref="F7:F8" si="0">C7/$C$8</f>
        <v>-1.0176834331953506E-3</v>
      </c>
    </row>
    <row r="8" spans="1:9" x14ac:dyDescent="0.3">
      <c r="A8" s="75" t="s">
        <v>90</v>
      </c>
      <c r="B8" s="101">
        <v>270794.1176470588</v>
      </c>
      <c r="C8" s="101">
        <v>312859.64912280702</v>
      </c>
      <c r="E8" s="70">
        <f>B8/$B$8</f>
        <v>1</v>
      </c>
      <c r="F8" s="70">
        <f t="shared" si="0"/>
        <v>1</v>
      </c>
    </row>
    <row r="9" spans="1:9" x14ac:dyDescent="0.3">
      <c r="E9" s="70">
        <f>B7/$B$8</f>
        <v>5.4538014750576836E-3</v>
      </c>
      <c r="F9" s="70">
        <f>C7/$C$8</f>
        <v>-1.0176834331953506E-3</v>
      </c>
    </row>
    <row r="10" spans="1:9" x14ac:dyDescent="0.3">
      <c r="C10" s="160"/>
    </row>
    <row r="12" spans="1:9" x14ac:dyDescent="0.3">
      <c r="C12">
        <v>9207</v>
      </c>
      <c r="D12">
        <v>3.4000000000000002E-2</v>
      </c>
      <c r="E12">
        <f>C12/D12</f>
        <v>270794.1176470588</v>
      </c>
    </row>
    <row r="13" spans="1:9" x14ac:dyDescent="0.3">
      <c r="C13">
        <v>17833</v>
      </c>
      <c r="D13">
        <v>5.7000000000000002E-2</v>
      </c>
      <c r="E13">
        <f>C13/D13</f>
        <v>312859.64912280702</v>
      </c>
    </row>
    <row r="15" spans="1:9" x14ac:dyDescent="0.3">
      <c r="H15">
        <v>-6113</v>
      </c>
      <c r="I15">
        <f>H15/H16</f>
        <v>163449.19786096257</v>
      </c>
    </row>
    <row r="16" spans="1:9" x14ac:dyDescent="0.3">
      <c r="H16" s="97">
        <v>-3.7400000000000003E-2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J50"/>
  <sheetViews>
    <sheetView showGridLines="0" topLeftCell="G5" zoomScaleNormal="100" workbookViewId="0">
      <selection activeCell="K5" sqref="K5"/>
    </sheetView>
  </sheetViews>
  <sheetFormatPr baseColWidth="10" defaultColWidth="11.44140625" defaultRowHeight="14.4" x14ac:dyDescent="0.3"/>
  <cols>
    <col min="2" max="2" width="38.109375" style="24" customWidth="1"/>
    <col min="3" max="3" width="15.6640625" style="24" customWidth="1"/>
    <col min="4" max="4" width="14.33203125" style="24" customWidth="1"/>
    <col min="5" max="5" width="14.44140625" style="24" bestFit="1" customWidth="1"/>
    <col min="6" max="6" width="11.44140625" style="24"/>
    <col min="7" max="7" width="42.33203125" style="24" bestFit="1" customWidth="1"/>
    <col min="8" max="8" width="15.6640625" style="24" customWidth="1"/>
    <col min="9" max="9" width="12.6640625" style="24" customWidth="1"/>
    <col min="10" max="10" width="14.44140625" bestFit="1" customWidth="1"/>
  </cols>
  <sheetData>
    <row r="2" spans="2:10" x14ac:dyDescent="0.3">
      <c r="B2" s="22" t="s">
        <v>39</v>
      </c>
      <c r="C2" s="23"/>
      <c r="D2" s="23"/>
      <c r="E2" s="23"/>
      <c r="F2" s="23"/>
      <c r="G2" s="22" t="s">
        <v>40</v>
      </c>
    </row>
    <row r="4" spans="2:10" ht="15" thickBot="1" x14ac:dyDescent="0.35">
      <c r="B4" s="1"/>
      <c r="G4" s="1"/>
    </row>
    <row r="5" spans="2:10" ht="15" thickBot="1" x14ac:dyDescent="0.35">
      <c r="B5" s="2"/>
      <c r="C5" s="207" t="str">
        <f>+CUADRO!B5</f>
        <v>Marzo</v>
      </c>
      <c r="D5" s="207"/>
      <c r="E5" s="6"/>
      <c r="F5" s="25"/>
      <c r="G5" s="2"/>
      <c r="H5" s="207" t="str">
        <f>+C5</f>
        <v>Marzo</v>
      </c>
      <c r="I5" s="207"/>
    </row>
    <row r="6" spans="2:10" ht="15.75" customHeight="1" thickBot="1" x14ac:dyDescent="0.35">
      <c r="B6" s="156" t="s">
        <v>0</v>
      </c>
      <c r="C6" s="208" t="s">
        <v>1</v>
      </c>
      <c r="D6" s="208"/>
      <c r="E6" s="6"/>
      <c r="G6" s="102" t="s">
        <v>0</v>
      </c>
      <c r="H6" s="209" t="s">
        <v>35</v>
      </c>
      <c r="I6" s="209"/>
    </row>
    <row r="7" spans="2:10" ht="26.25" customHeight="1" thickBot="1" x14ac:dyDescent="0.35">
      <c r="B7" s="103"/>
      <c r="C7" s="104" t="str">
        <f>CUADRO!B5</f>
        <v>Marzo</v>
      </c>
      <c r="D7" s="105" t="s">
        <v>2</v>
      </c>
      <c r="E7" s="3"/>
      <c r="G7" s="103"/>
      <c r="H7" s="104" t="str">
        <f>+C7</f>
        <v>Marzo</v>
      </c>
      <c r="I7" s="105" t="s">
        <v>2</v>
      </c>
    </row>
    <row r="8" spans="2:10" ht="15" x14ac:dyDescent="0.3">
      <c r="B8" s="106" t="s">
        <v>98</v>
      </c>
      <c r="C8" s="157">
        <v>88773.899303000013</v>
      </c>
      <c r="D8" s="158">
        <v>-32.811861799745365</v>
      </c>
      <c r="E8" s="69">
        <f>C8/$C$45</f>
        <v>0.37239183995010317</v>
      </c>
      <c r="G8" s="106" t="s">
        <v>96</v>
      </c>
      <c r="H8" s="107">
        <v>139801.91586999988</v>
      </c>
      <c r="I8" s="108">
        <v>120.46431128040589</v>
      </c>
      <c r="J8" s="70">
        <f>H8/$H$48</f>
        <v>0.52473427162009856</v>
      </c>
    </row>
    <row r="9" spans="2:10" x14ac:dyDescent="0.3">
      <c r="B9" s="159" t="s">
        <v>97</v>
      </c>
      <c r="C9" s="157">
        <v>149614.51252389405</v>
      </c>
      <c r="D9" s="158">
        <v>20.100686216272614</v>
      </c>
      <c r="E9" s="69">
        <f>C9/$C$45</f>
        <v>0.62760816004989683</v>
      </c>
      <c r="G9" s="109" t="s">
        <v>97</v>
      </c>
      <c r="H9" s="107">
        <v>126622.29812000004</v>
      </c>
      <c r="I9" s="108">
        <v>37.996618943451011</v>
      </c>
      <c r="J9" s="70">
        <f>H9/$H$48</f>
        <v>0.47526572837990144</v>
      </c>
    </row>
    <row r="10" spans="2:10" ht="3.75" customHeight="1" x14ac:dyDescent="0.3">
      <c r="B10" s="159"/>
      <c r="C10" s="157"/>
      <c r="D10" s="158"/>
      <c r="E10" s="26"/>
      <c r="G10" s="109"/>
      <c r="H10" s="107"/>
      <c r="I10" s="108"/>
    </row>
    <row r="11" spans="2:10" ht="3" customHeight="1" x14ac:dyDescent="0.3">
      <c r="B11" s="110" t="s">
        <v>30</v>
      </c>
      <c r="C11" s="111" t="s">
        <v>28</v>
      </c>
      <c r="D11" s="112" t="s">
        <v>29</v>
      </c>
      <c r="E11" s="27"/>
      <c r="G11" s="110" t="s">
        <v>30</v>
      </c>
      <c r="H11" s="111" t="s">
        <v>28</v>
      </c>
      <c r="I11" s="112" t="s">
        <v>29</v>
      </c>
    </row>
    <row r="12" spans="2:10" x14ac:dyDescent="0.3">
      <c r="B12" s="116" t="s">
        <v>6</v>
      </c>
      <c r="C12" s="117">
        <v>33644.751999999993</v>
      </c>
      <c r="D12" s="118">
        <v>21.362467997582346</v>
      </c>
      <c r="E12" s="28" t="b">
        <f>CUADRO!C9=C45</f>
        <v>1</v>
      </c>
      <c r="G12" s="116" t="s">
        <v>25</v>
      </c>
      <c r="H12" s="117">
        <v>19911.777900000001</v>
      </c>
      <c r="I12" s="118">
        <v>101.06314474750073</v>
      </c>
      <c r="J12" t="b">
        <f>H48=CUADRO!C10</f>
        <v>1</v>
      </c>
    </row>
    <row r="13" spans="2:10" x14ac:dyDescent="0.3">
      <c r="B13" s="116" t="s">
        <v>25</v>
      </c>
      <c r="C13" s="117">
        <v>19537.687990000006</v>
      </c>
      <c r="D13" s="118">
        <v>43.697517285225594</v>
      </c>
      <c r="E13" s="28" t="b">
        <f>SUM(C12:C44)=C9</f>
        <v>1</v>
      </c>
      <c r="G13" s="116" t="s">
        <v>27</v>
      </c>
      <c r="H13" s="117">
        <v>15540.441750000027</v>
      </c>
      <c r="I13" s="118">
        <v>660.426144300896</v>
      </c>
      <c r="J13" s="28" t="b">
        <f>SUM(H12:H46)=H9</f>
        <v>1</v>
      </c>
    </row>
    <row r="14" spans="2:10" x14ac:dyDescent="0.3">
      <c r="B14" s="116" t="s">
        <v>7</v>
      </c>
      <c r="C14" s="117">
        <v>16137.00323</v>
      </c>
      <c r="D14" s="118">
        <v>-24.171398892571538</v>
      </c>
      <c r="G14" s="116" t="s">
        <v>11</v>
      </c>
      <c r="H14" s="117">
        <v>14958.295060000006</v>
      </c>
      <c r="I14" s="118">
        <v>110.27996493125687</v>
      </c>
    </row>
    <row r="15" spans="2:10" x14ac:dyDescent="0.3">
      <c r="B15" s="116" t="s">
        <v>82</v>
      </c>
      <c r="C15" s="117">
        <v>14367.65979</v>
      </c>
      <c r="D15" s="118">
        <v>25.091479249856398</v>
      </c>
      <c r="E15" s="28"/>
      <c r="G15" s="116" t="s">
        <v>132</v>
      </c>
      <c r="H15" s="117">
        <v>9052.8635400000003</v>
      </c>
      <c r="I15" s="118">
        <v>9.5487001452677855</v>
      </c>
    </row>
    <row r="16" spans="2:10" x14ac:dyDescent="0.3">
      <c r="B16" s="116" t="s">
        <v>131</v>
      </c>
      <c r="C16" s="117">
        <v>9323.8264038940051</v>
      </c>
      <c r="D16" s="118">
        <v>8.74694566651395</v>
      </c>
      <c r="E16" s="28"/>
      <c r="G16" s="116" t="s">
        <v>134</v>
      </c>
      <c r="H16" s="117">
        <v>8524.5046900000016</v>
      </c>
      <c r="I16" s="118">
        <v>-13.865168925199589</v>
      </c>
    </row>
    <row r="17" spans="2:9" x14ac:dyDescent="0.3">
      <c r="B17" s="116" t="s">
        <v>24</v>
      </c>
      <c r="C17" s="117">
        <v>8643.1933200000021</v>
      </c>
      <c r="D17" s="118">
        <v>115.16742468025893</v>
      </c>
      <c r="E17" s="28"/>
      <c r="G17" s="116" t="s">
        <v>82</v>
      </c>
      <c r="H17" s="117">
        <v>7442.2917399999988</v>
      </c>
      <c r="I17" s="118">
        <v>6.8705313261837375</v>
      </c>
    </row>
    <row r="18" spans="2:9" x14ac:dyDescent="0.3">
      <c r="B18" s="116" t="s">
        <v>11</v>
      </c>
      <c r="C18" s="117">
        <v>8535.0300900000002</v>
      </c>
      <c r="D18" s="118">
        <v>26.844460420102443</v>
      </c>
      <c r="E18" s="28"/>
      <c r="G18" s="116" t="s">
        <v>24</v>
      </c>
      <c r="H18" s="117">
        <v>6723.9654200000023</v>
      </c>
      <c r="I18" s="118">
        <v>116.81551630358369</v>
      </c>
    </row>
    <row r="19" spans="2:9" x14ac:dyDescent="0.3">
      <c r="B19" s="116" t="s">
        <v>21</v>
      </c>
      <c r="C19" s="117">
        <v>8035.7706500000004</v>
      </c>
      <c r="D19" s="118">
        <v>-10.985763207611509</v>
      </c>
      <c r="E19" s="28"/>
      <c r="G19" s="116" t="s">
        <v>10</v>
      </c>
      <c r="H19" s="117">
        <v>6618.7235100000007</v>
      </c>
      <c r="I19" s="118">
        <v>121.77082890348352</v>
      </c>
    </row>
    <row r="20" spans="2:9" x14ac:dyDescent="0.3">
      <c r="B20" s="116" t="s">
        <v>12</v>
      </c>
      <c r="C20" s="117">
        <v>7599.0822400000006</v>
      </c>
      <c r="D20" s="118">
        <v>56.205358337113509</v>
      </c>
      <c r="E20" s="28"/>
      <c r="G20" s="116" t="s">
        <v>131</v>
      </c>
      <c r="H20" s="117">
        <v>5737.2207099999969</v>
      </c>
      <c r="I20" s="118">
        <v>55.877129630449197</v>
      </c>
    </row>
    <row r="21" spans="2:9" x14ac:dyDescent="0.3">
      <c r="B21" s="116" t="s">
        <v>23</v>
      </c>
      <c r="C21" s="117">
        <v>4593.7785599999997</v>
      </c>
      <c r="D21" s="118">
        <v>324.34130169061496</v>
      </c>
      <c r="E21" s="28"/>
      <c r="G21" s="116" t="s">
        <v>12</v>
      </c>
      <c r="H21" s="117">
        <v>4660.0966899999994</v>
      </c>
      <c r="I21" s="118">
        <v>-51.485332198008152</v>
      </c>
    </row>
    <row r="22" spans="2:9" x14ac:dyDescent="0.3">
      <c r="B22" s="116" t="s">
        <v>22</v>
      </c>
      <c r="C22" s="117">
        <v>4116.98866</v>
      </c>
      <c r="D22" s="118">
        <v>67.085681127994491</v>
      </c>
      <c r="E22" s="28"/>
      <c r="G22" s="116" t="s">
        <v>9</v>
      </c>
      <c r="H22" s="117">
        <v>4501.7093200000008</v>
      </c>
      <c r="I22" s="118">
        <v>454.82408728471484</v>
      </c>
    </row>
    <row r="23" spans="2:9" x14ac:dyDescent="0.3">
      <c r="B23" s="116" t="s">
        <v>10</v>
      </c>
      <c r="C23" s="117">
        <v>3353.8310399999991</v>
      </c>
      <c r="D23" s="118">
        <v>131.78954113594239</v>
      </c>
      <c r="E23" s="28"/>
      <c r="G23" s="116" t="s">
        <v>21</v>
      </c>
      <c r="H23" s="117">
        <v>4158.6751500000009</v>
      </c>
      <c r="I23" s="118">
        <v>6.6954598949183763</v>
      </c>
    </row>
    <row r="24" spans="2:9" x14ac:dyDescent="0.3">
      <c r="B24" s="116" t="s">
        <v>132</v>
      </c>
      <c r="C24" s="117">
        <v>2663.9195300000001</v>
      </c>
      <c r="D24" s="118">
        <v>-49.203380644593011</v>
      </c>
      <c r="E24" s="28"/>
      <c r="G24" s="116" t="s">
        <v>23</v>
      </c>
      <c r="H24" s="117">
        <v>3796.6500700000001</v>
      </c>
      <c r="I24" s="118">
        <v>302.72891757142196</v>
      </c>
    </row>
    <row r="25" spans="2:9" x14ac:dyDescent="0.3">
      <c r="B25" s="116" t="s">
        <v>37</v>
      </c>
      <c r="C25" s="117">
        <v>2395.3517999999999</v>
      </c>
      <c r="D25" s="118">
        <v>343.68172032685891</v>
      </c>
      <c r="E25" s="28"/>
      <c r="G25" s="116" t="s">
        <v>6</v>
      </c>
      <c r="H25" s="117">
        <v>2704.5958300000016</v>
      </c>
      <c r="I25" s="118">
        <v>227.96432655484787</v>
      </c>
    </row>
    <row r="26" spans="2:9" x14ac:dyDescent="0.3">
      <c r="B26" s="116" t="s">
        <v>8</v>
      </c>
      <c r="C26" s="117">
        <v>2102.2175000000002</v>
      </c>
      <c r="D26" s="118">
        <v>7.9828727912249375</v>
      </c>
      <c r="E26" s="28"/>
      <c r="G26" s="116" t="s">
        <v>66</v>
      </c>
      <c r="H26" s="117">
        <v>2379.6606399999996</v>
      </c>
      <c r="I26" s="118">
        <v>608.1133660728724</v>
      </c>
    </row>
    <row r="27" spans="2:9" x14ac:dyDescent="0.3">
      <c r="B27" s="116" t="s">
        <v>20</v>
      </c>
      <c r="C27" s="117">
        <v>1686.1781199999996</v>
      </c>
      <c r="D27" s="118">
        <v>-17.24353697231734</v>
      </c>
      <c r="E27" s="28"/>
      <c r="G27" s="116" t="s">
        <v>140</v>
      </c>
      <c r="H27" s="117">
        <v>2223.24521</v>
      </c>
      <c r="I27" s="118">
        <v>798.33472041981338</v>
      </c>
    </row>
    <row r="28" spans="2:9" x14ac:dyDescent="0.3">
      <c r="B28" s="116" t="s">
        <v>9</v>
      </c>
      <c r="C28" s="117">
        <v>827.77251999999999</v>
      </c>
      <c r="D28" s="118" t="s">
        <v>19</v>
      </c>
      <c r="E28" s="28"/>
      <c r="G28" s="116" t="s">
        <v>135</v>
      </c>
      <c r="H28" s="117">
        <v>1361.22729</v>
      </c>
      <c r="I28" s="118">
        <v>-78.441841907747502</v>
      </c>
    </row>
    <row r="29" spans="2:9" x14ac:dyDescent="0.3">
      <c r="B29" s="116" t="s">
        <v>13</v>
      </c>
      <c r="C29" s="117">
        <v>617.20280999999989</v>
      </c>
      <c r="D29" s="118">
        <v>279.81328065365977</v>
      </c>
      <c r="E29" s="28"/>
      <c r="G29" s="116" t="s">
        <v>13</v>
      </c>
      <c r="H29" s="117">
        <v>1345.2831999999999</v>
      </c>
      <c r="I29" s="118">
        <v>534.40472659823479</v>
      </c>
    </row>
    <row r="30" spans="2:9" x14ac:dyDescent="0.3">
      <c r="B30" s="116" t="s">
        <v>133</v>
      </c>
      <c r="C30" s="117">
        <v>374.74079999999998</v>
      </c>
      <c r="D30" s="118">
        <v>49.647533967729316</v>
      </c>
      <c r="E30" s="28"/>
      <c r="G30" s="116" t="s">
        <v>7</v>
      </c>
      <c r="H30" s="117">
        <v>1326.4145699999997</v>
      </c>
      <c r="I30" s="118">
        <v>35.27830579490341</v>
      </c>
    </row>
    <row r="31" spans="2:9" x14ac:dyDescent="0.3">
      <c r="B31" s="116" t="s">
        <v>134</v>
      </c>
      <c r="C31" s="117">
        <v>355.12439999999998</v>
      </c>
      <c r="D31" s="118">
        <v>-31.522257815389253</v>
      </c>
      <c r="E31" s="28"/>
      <c r="G31" s="116" t="s">
        <v>38</v>
      </c>
      <c r="H31" s="117">
        <v>1319.4818100000002</v>
      </c>
      <c r="I31" s="118">
        <v>298.16776030278197</v>
      </c>
    </row>
    <row r="32" spans="2:9" x14ac:dyDescent="0.3">
      <c r="B32" s="116" t="s">
        <v>16</v>
      </c>
      <c r="C32" s="117">
        <v>295.63200000000001</v>
      </c>
      <c r="D32" s="118">
        <v>42.347712619713704</v>
      </c>
      <c r="E32" s="28"/>
      <c r="G32" s="116" t="s">
        <v>8</v>
      </c>
      <c r="H32" s="117">
        <v>739.63455999999996</v>
      </c>
      <c r="I32" s="118">
        <v>-91.655247398055991</v>
      </c>
    </row>
    <row r="33" spans="2:9" x14ac:dyDescent="0.3">
      <c r="B33" s="116" t="s">
        <v>15</v>
      </c>
      <c r="C33" s="117">
        <v>226.90295</v>
      </c>
      <c r="D33" s="118">
        <v>7.4383239119655498</v>
      </c>
      <c r="E33" s="28"/>
      <c r="G33" s="116" t="s">
        <v>20</v>
      </c>
      <c r="H33" s="117">
        <v>575.04343999999992</v>
      </c>
      <c r="I33" s="118">
        <v>7.7296881509835602</v>
      </c>
    </row>
    <row r="34" spans="2:9" x14ac:dyDescent="0.3">
      <c r="B34" s="116" t="s">
        <v>36</v>
      </c>
      <c r="C34" s="117">
        <v>89.185469999999995</v>
      </c>
      <c r="D34" s="118" t="s">
        <v>14</v>
      </c>
      <c r="E34" s="28"/>
      <c r="G34" s="116" t="s">
        <v>37</v>
      </c>
      <c r="H34" s="117">
        <v>501.78138999999987</v>
      </c>
      <c r="I34" s="118">
        <v>14.5786823501731</v>
      </c>
    </row>
    <row r="35" spans="2:9" x14ac:dyDescent="0.3">
      <c r="B35" s="116" t="s">
        <v>18</v>
      </c>
      <c r="C35" s="117">
        <v>64.471299999999999</v>
      </c>
      <c r="D35" s="118" t="s">
        <v>14</v>
      </c>
      <c r="E35" s="28"/>
      <c r="G35" s="116" t="s">
        <v>17</v>
      </c>
      <c r="H35" s="117">
        <v>218.92141000000001</v>
      </c>
      <c r="I35" s="118">
        <v>-79.473308285717522</v>
      </c>
    </row>
    <row r="36" spans="2:9" x14ac:dyDescent="0.3">
      <c r="B36" s="116" t="s">
        <v>26</v>
      </c>
      <c r="C36" s="117">
        <v>27.093540000000001</v>
      </c>
      <c r="D36" s="118">
        <v>270.88730277369388</v>
      </c>
      <c r="E36" s="28"/>
      <c r="G36" s="116" t="s">
        <v>15</v>
      </c>
      <c r="H36" s="117">
        <v>211.95330000000001</v>
      </c>
      <c r="I36" s="118">
        <v>-88.982180421500644</v>
      </c>
    </row>
    <row r="37" spans="2:9" x14ac:dyDescent="0.3">
      <c r="B37" s="116" t="s">
        <v>139</v>
      </c>
      <c r="C37" s="117">
        <v>0.11581000001751818</v>
      </c>
      <c r="D37" s="118">
        <v>-9.5234373916004866</v>
      </c>
      <c r="E37" s="28"/>
      <c r="G37" s="116" t="s">
        <v>18</v>
      </c>
      <c r="H37" s="117">
        <v>68.909499999999994</v>
      </c>
      <c r="I37" s="118" t="s">
        <v>14</v>
      </c>
    </row>
    <row r="38" spans="2:9" x14ac:dyDescent="0.3">
      <c r="B38" s="116" t="s">
        <v>66</v>
      </c>
      <c r="C38" s="117">
        <v>0</v>
      </c>
      <c r="D38" s="118">
        <v>-100</v>
      </c>
      <c r="E38" s="29"/>
      <c r="G38" s="116" t="s">
        <v>36</v>
      </c>
      <c r="H38" s="117">
        <v>18.930419999999998</v>
      </c>
      <c r="I38" s="118" t="s">
        <v>14</v>
      </c>
    </row>
    <row r="39" spans="2:9" x14ac:dyDescent="0.3">
      <c r="B39" s="116" t="s">
        <v>17</v>
      </c>
      <c r="C39" s="117">
        <v>0</v>
      </c>
      <c r="D39" s="118">
        <v>-100</v>
      </c>
      <c r="G39" s="116" t="s">
        <v>143</v>
      </c>
      <c r="H39" s="117">
        <v>0</v>
      </c>
      <c r="I39" s="118" t="s">
        <v>14</v>
      </c>
    </row>
    <row r="40" spans="2:9" x14ac:dyDescent="0.3">
      <c r="B40" s="116" t="s">
        <v>135</v>
      </c>
      <c r="C40" s="117">
        <v>0</v>
      </c>
      <c r="D40" s="118" t="s">
        <v>14</v>
      </c>
      <c r="G40" s="116" t="s">
        <v>67</v>
      </c>
      <c r="H40" s="117">
        <v>0</v>
      </c>
      <c r="I40" s="118">
        <v>-100</v>
      </c>
    </row>
    <row r="41" spans="2:9" x14ac:dyDescent="0.3">
      <c r="B41" s="116" t="s">
        <v>38</v>
      </c>
      <c r="C41" s="117">
        <v>0</v>
      </c>
      <c r="D41" s="118" t="s">
        <v>14</v>
      </c>
      <c r="G41" s="116" t="s">
        <v>71</v>
      </c>
      <c r="H41" s="117">
        <v>0</v>
      </c>
      <c r="I41" s="118">
        <v>-100</v>
      </c>
    </row>
    <row r="42" spans="2:9" ht="15" thickBot="1" x14ac:dyDescent="0.35">
      <c r="B42" s="113" t="s">
        <v>140</v>
      </c>
      <c r="C42" s="114">
        <v>0</v>
      </c>
      <c r="D42" s="115" t="s">
        <v>14</v>
      </c>
      <c r="G42" s="116" t="s">
        <v>16</v>
      </c>
      <c r="H42" s="117">
        <v>0</v>
      </c>
      <c r="I42" s="118">
        <v>-100</v>
      </c>
    </row>
    <row r="43" spans="2:9" ht="15" thickBot="1" x14ac:dyDescent="0.35">
      <c r="B43" s="113" t="s">
        <v>26</v>
      </c>
      <c r="C43" s="114">
        <v>0</v>
      </c>
      <c r="D43" s="115">
        <v>-100</v>
      </c>
      <c r="G43" s="113" t="s">
        <v>26</v>
      </c>
      <c r="H43" s="114">
        <v>0</v>
      </c>
      <c r="I43" s="115">
        <v>-100</v>
      </c>
    </row>
    <row r="44" spans="2:9" ht="15" thickBot="1" x14ac:dyDescent="0.35">
      <c r="G44" s="113" t="s">
        <v>26</v>
      </c>
      <c r="H44" s="114">
        <v>0</v>
      </c>
      <c r="I44" s="115">
        <v>-100</v>
      </c>
    </row>
    <row r="45" spans="2:9" ht="15" thickBot="1" x14ac:dyDescent="0.35">
      <c r="C45" s="19">
        <f>+SUM(C8:C9)</f>
        <v>238388.41182689407</v>
      </c>
      <c r="G45" s="113" t="s">
        <v>18</v>
      </c>
      <c r="H45" s="114"/>
      <c r="I45" s="115">
        <v>-100</v>
      </c>
    </row>
    <row r="46" spans="2:9" ht="15" thickBot="1" x14ac:dyDescent="0.35">
      <c r="C46" s="31">
        <f>C8/$C$45</f>
        <v>0.37239183995010317</v>
      </c>
      <c r="G46" s="30"/>
      <c r="H46" s="21"/>
      <c r="I46" s="4"/>
    </row>
    <row r="47" spans="2:9" x14ac:dyDescent="0.3">
      <c r="C47" s="31">
        <f>C9/$C$45</f>
        <v>0.62760816004989683</v>
      </c>
    </row>
    <row r="48" spans="2:9" x14ac:dyDescent="0.3">
      <c r="H48" s="19">
        <f>+SUM(H8:H9)</f>
        <v>266424.2139899999</v>
      </c>
    </row>
    <row r="49" spans="8:8" x14ac:dyDescent="0.3">
      <c r="H49" s="31">
        <f>H8/$H$48</f>
        <v>0.52473427162009856</v>
      </c>
    </row>
    <row r="50" spans="8:8" x14ac:dyDescent="0.3">
      <c r="H50" s="31">
        <f>H9/$H$48</f>
        <v>0.47526572837990144</v>
      </c>
    </row>
  </sheetData>
  <sortState ref="G9:I35">
    <sortCondition descending="1" ref="H9"/>
  </sortState>
  <mergeCells count="4">
    <mergeCell ref="C5:D5"/>
    <mergeCell ref="C6:D6"/>
    <mergeCell ref="H5:I5"/>
    <mergeCell ref="H6:I6"/>
  </mergeCells>
  <conditionalFormatting sqref="C12:C41">
    <cfRule type="dataBar" priority="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{E9C0C2F4-BBA5-4761-966F-AA8EDC9DBB47}</x14:id>
        </ext>
      </extLst>
    </cfRule>
  </conditionalFormatting>
  <conditionalFormatting sqref="I46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{A6C800DC-4FB8-4278-A562-9605AECBE32B}</x14:id>
        </ext>
      </extLst>
    </cfRule>
  </conditionalFormatting>
  <conditionalFormatting sqref="H12:H45">
    <cfRule type="dataBar" priority="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{0D7A8406-AE8E-4C59-8040-7557CB392530}</x14:id>
        </ext>
      </extLst>
    </cfRule>
  </conditionalFormatting>
  <conditionalFormatting sqref="I12:I45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{5751D1D2-2559-42C2-B6B3-685D1ED645B4}</x14:id>
        </ext>
      </extLst>
    </cfRule>
  </conditionalFormatting>
  <conditionalFormatting sqref="D15:E20 D14 E21:E38 D21:D36 D38:D42 D12:E13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{F2F52A3B-6435-44EA-A062-C083C1B96D33}</x14:id>
        </ext>
      </extLst>
    </cfRule>
  </conditionalFormatting>
  <conditionalFormatting sqref="H12:H46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{E2378299-2DD1-4D7C-BB95-962ED2F96973}</x14:id>
        </ext>
      </extLst>
    </cfRule>
  </conditionalFormatting>
  <conditionalFormatting sqref="D3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{692010BA-0138-4DCA-A757-273F4559D8D2}</x14:id>
        </ext>
      </extLst>
    </cfRule>
  </conditionalFormatting>
  <conditionalFormatting sqref="D4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{B5142640-4FF5-47C4-A15C-97799F63CB52}</x14:id>
        </ext>
      </extLst>
    </cfRule>
  </conditionalFormatting>
  <conditionalFormatting sqref="J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{CCAB7E42-A6D7-432C-A2FD-268EFD08AD65}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C0C2F4-BBA5-4761-966F-AA8EDC9DBB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C12:C41</xm:sqref>
        </x14:conditionalFormatting>
        <x14:conditionalFormatting xmlns:xm="http://schemas.microsoft.com/office/excel/2006/main">
          <x14:cfRule type="dataBar" id="{A6C800DC-4FB8-4278-A562-9605AECBE3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I46</xm:sqref>
        </x14:conditionalFormatting>
        <x14:conditionalFormatting xmlns:xm="http://schemas.microsoft.com/office/excel/2006/main">
          <x14:cfRule type="dataBar" id="{0D7A8406-AE8E-4C59-8040-7557CB39253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H12:H45</xm:sqref>
        </x14:conditionalFormatting>
        <x14:conditionalFormatting xmlns:xm="http://schemas.microsoft.com/office/excel/2006/main">
          <x14:cfRule type="dataBar" id="{5751D1D2-2559-42C2-B6B3-685D1ED645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I12:I45</xm:sqref>
        </x14:conditionalFormatting>
        <x14:conditionalFormatting xmlns:xm="http://schemas.microsoft.com/office/excel/2006/main">
          <x14:cfRule type="dataBar" id="{F2F52A3B-6435-44EA-A062-C083C1B96D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D15:E20 D14 E21:E38 D21:D36 D38:D42 D12:E13</xm:sqref>
        </x14:conditionalFormatting>
        <x14:conditionalFormatting xmlns:xm="http://schemas.microsoft.com/office/excel/2006/main">
          <x14:cfRule type="dataBar" id="{E2378299-2DD1-4D7C-BB95-962ED2F969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H12:H46</xm:sqref>
        </x14:conditionalFormatting>
        <x14:conditionalFormatting xmlns:xm="http://schemas.microsoft.com/office/excel/2006/main">
          <x14:cfRule type="dataBar" id="{692010BA-0138-4DCA-A757-273F4559D8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D37</xm:sqref>
        </x14:conditionalFormatting>
        <x14:conditionalFormatting xmlns:xm="http://schemas.microsoft.com/office/excel/2006/main">
          <x14:cfRule type="dataBar" id="{B5142640-4FF5-47C4-A15C-97799F63CB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D43</xm:sqref>
        </x14:conditionalFormatting>
        <x14:conditionalFormatting xmlns:xm="http://schemas.microsoft.com/office/excel/2006/main">
          <x14:cfRule type="dataBar" id="{CCAB7E42-A6D7-432C-A2FD-268EFD08AD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J49"/>
  <sheetViews>
    <sheetView showGridLines="0" topLeftCell="F23" zoomScaleNormal="100" workbookViewId="0">
      <selection activeCell="G6" sqref="G6:I43"/>
    </sheetView>
  </sheetViews>
  <sheetFormatPr baseColWidth="10" defaultRowHeight="14.4" x14ac:dyDescent="0.3"/>
  <cols>
    <col min="2" max="2" width="38.109375" style="24" customWidth="1"/>
    <col min="3" max="3" width="15.6640625" style="24" customWidth="1"/>
    <col min="4" max="4" width="12.6640625" style="24" customWidth="1"/>
    <col min="5" max="5" width="19.5546875" style="24" customWidth="1"/>
    <col min="6" max="6" width="11.44140625" style="24"/>
    <col min="7" max="7" width="38.109375" style="24" customWidth="1"/>
    <col min="8" max="8" width="15.6640625" style="24" customWidth="1"/>
    <col min="9" max="9" width="12.6640625" style="24" customWidth="1"/>
    <col min="10" max="10" width="14.44140625" bestFit="1" customWidth="1"/>
  </cols>
  <sheetData>
    <row r="2" spans="2:10" x14ac:dyDescent="0.3">
      <c r="B2" s="22" t="s">
        <v>69</v>
      </c>
      <c r="C2" s="23"/>
      <c r="D2" s="23"/>
      <c r="E2" s="23"/>
      <c r="F2" s="23"/>
      <c r="G2" s="22" t="s">
        <v>70</v>
      </c>
    </row>
    <row r="4" spans="2:10" ht="15" thickBot="1" x14ac:dyDescent="0.35">
      <c r="B4" s="1"/>
      <c r="G4" s="1"/>
    </row>
    <row r="5" spans="2:10" ht="15" thickBot="1" x14ac:dyDescent="0.35">
      <c r="B5" s="2"/>
      <c r="C5" s="207" t="str">
        <f>+CUADRO!E5</f>
        <v>Enero-Marzo</v>
      </c>
      <c r="D5" s="207"/>
      <c r="E5" s="6"/>
      <c r="F5" s="25"/>
      <c r="G5" s="2"/>
      <c r="H5" s="207" t="str">
        <f>+C5</f>
        <v>Enero-Marzo</v>
      </c>
      <c r="I5" s="207"/>
    </row>
    <row r="6" spans="2:10" ht="15.75" customHeight="1" thickBot="1" x14ac:dyDescent="0.35">
      <c r="B6" s="102" t="s">
        <v>0</v>
      </c>
      <c r="C6" s="209" t="s">
        <v>1</v>
      </c>
      <c r="D6" s="209"/>
      <c r="E6" s="6"/>
      <c r="G6" s="102" t="s">
        <v>0</v>
      </c>
      <c r="H6" s="209" t="s">
        <v>35</v>
      </c>
      <c r="I6" s="209"/>
    </row>
    <row r="7" spans="2:10" ht="26.25" customHeight="1" thickBot="1" x14ac:dyDescent="0.35">
      <c r="B7" s="103"/>
      <c r="C7" s="119" t="str">
        <f>C5</f>
        <v>Enero-Marzo</v>
      </c>
      <c r="D7" s="105" t="s">
        <v>2</v>
      </c>
      <c r="E7" s="3"/>
      <c r="G7" s="103"/>
      <c r="H7" s="104" t="str">
        <f>+C7</f>
        <v>Enero-Marzo</v>
      </c>
      <c r="I7" s="105" t="s">
        <v>2</v>
      </c>
    </row>
    <row r="8" spans="2:10" x14ac:dyDescent="0.3">
      <c r="B8" s="161" t="s">
        <v>96</v>
      </c>
      <c r="C8" s="162">
        <v>147201.30598900001</v>
      </c>
      <c r="D8" s="108">
        <v>-56.043185605574685</v>
      </c>
      <c r="E8" s="69">
        <f>C8/$C$44</f>
        <v>0.27776774777853946</v>
      </c>
      <c r="G8" s="106" t="s">
        <v>96</v>
      </c>
      <c r="H8" s="107">
        <v>265795.25080999994</v>
      </c>
      <c r="I8" s="108">
        <v>48.30111338240075</v>
      </c>
      <c r="J8" s="70">
        <f>H8/$H$47</f>
        <v>0.46382545571999834</v>
      </c>
    </row>
    <row r="9" spans="2:10" x14ac:dyDescent="0.3">
      <c r="B9" s="159" t="s">
        <v>97</v>
      </c>
      <c r="C9" s="157">
        <v>382742.53078200505</v>
      </c>
      <c r="D9" s="108">
        <v>13.487594796142188</v>
      </c>
      <c r="E9" s="69">
        <f>C9/$C$44</f>
        <v>0.72223225222146059</v>
      </c>
      <c r="G9" s="109" t="s">
        <v>97</v>
      </c>
      <c r="H9" s="107">
        <v>307254.90746000013</v>
      </c>
      <c r="I9" s="108">
        <v>43.710208243885873</v>
      </c>
      <c r="J9" s="70">
        <f>H9/$H$47</f>
        <v>0.53617454428000177</v>
      </c>
    </row>
    <row r="10" spans="2:10" ht="3.75" customHeight="1" x14ac:dyDescent="0.3">
      <c r="B10" s="159"/>
      <c r="C10" s="157">
        <v>131157.587</v>
      </c>
      <c r="D10" s="108">
        <v>152.36293241378016</v>
      </c>
      <c r="E10" s="26"/>
      <c r="G10" s="109"/>
      <c r="H10" s="107"/>
      <c r="I10" s="108"/>
    </row>
    <row r="11" spans="2:10" ht="3" customHeight="1" x14ac:dyDescent="0.3">
      <c r="B11" s="110" t="s">
        <v>30</v>
      </c>
      <c r="C11" s="111">
        <v>99158.597049999997</v>
      </c>
      <c r="D11" s="112">
        <v>31.538642646351178</v>
      </c>
      <c r="E11" s="27"/>
      <c r="G11" s="110" t="s">
        <v>30</v>
      </c>
      <c r="H11" s="111" t="s">
        <v>28</v>
      </c>
      <c r="I11" s="112" t="s">
        <v>29</v>
      </c>
    </row>
    <row r="12" spans="2:10" x14ac:dyDescent="0.3">
      <c r="B12" s="116" t="s">
        <v>6</v>
      </c>
      <c r="C12" s="117">
        <v>83651.707419999992</v>
      </c>
      <c r="D12" s="118">
        <v>8.6580288200476261</v>
      </c>
      <c r="E12" s="28" t="b">
        <f>C44=CUADRO!F9</f>
        <v>1</v>
      </c>
      <c r="G12" s="116" t="s">
        <v>25</v>
      </c>
      <c r="H12" s="117">
        <v>59308.768270000008</v>
      </c>
      <c r="I12" s="118">
        <v>134.13350698128602</v>
      </c>
      <c r="J12" t="b">
        <f>H47=CUADRO!F10</f>
        <v>1</v>
      </c>
    </row>
    <row r="13" spans="2:10" x14ac:dyDescent="0.3">
      <c r="B13" s="116" t="s">
        <v>25</v>
      </c>
      <c r="C13" s="117">
        <v>43452.594720000001</v>
      </c>
      <c r="D13" s="118">
        <v>28.422704871342841</v>
      </c>
      <c r="E13" s="28" t="b">
        <f>SUM(C12:C43)=C9</f>
        <v>1</v>
      </c>
      <c r="G13" s="116" t="s">
        <v>11</v>
      </c>
      <c r="H13" s="117">
        <v>33716.495270000014</v>
      </c>
      <c r="I13" s="118">
        <v>87.971383377308527</v>
      </c>
      <c r="J13" s="28" t="b">
        <f>SUM(H12:H43)=H9</f>
        <v>1</v>
      </c>
    </row>
    <row r="14" spans="2:10" x14ac:dyDescent="0.3">
      <c r="B14" s="116" t="s">
        <v>82</v>
      </c>
      <c r="C14" s="117">
        <v>36514.059129999994</v>
      </c>
      <c r="D14" s="118">
        <v>17.324486319663791</v>
      </c>
      <c r="E14" s="28"/>
      <c r="G14" s="116" t="s">
        <v>134</v>
      </c>
      <c r="H14" s="117">
        <v>26875.239249999999</v>
      </c>
      <c r="I14" s="118">
        <v>-8.6467932146781497</v>
      </c>
    </row>
    <row r="15" spans="2:10" x14ac:dyDescent="0.3">
      <c r="B15" s="116" t="s">
        <v>7</v>
      </c>
      <c r="C15" s="117">
        <v>36470.754709999994</v>
      </c>
      <c r="D15" s="118">
        <v>-39.833656274270879</v>
      </c>
      <c r="E15" s="28"/>
      <c r="G15" s="116" t="s">
        <v>24</v>
      </c>
      <c r="H15" s="117">
        <v>20163.76902</v>
      </c>
      <c r="I15" s="118">
        <v>235.1070030240196</v>
      </c>
    </row>
    <row r="16" spans="2:10" x14ac:dyDescent="0.3">
      <c r="B16" s="116" t="s">
        <v>21</v>
      </c>
      <c r="C16" s="117">
        <v>27905.107340000002</v>
      </c>
      <c r="D16" s="118">
        <v>2.7989075597510737</v>
      </c>
      <c r="E16" s="28"/>
      <c r="G16" s="116" t="s">
        <v>82</v>
      </c>
      <c r="H16" s="117">
        <v>17646.423470000002</v>
      </c>
      <c r="I16" s="118">
        <v>1.7073248934225793</v>
      </c>
    </row>
    <row r="17" spans="2:9" x14ac:dyDescent="0.3">
      <c r="B17" s="116" t="s">
        <v>24</v>
      </c>
      <c r="C17" s="117">
        <v>24715.872160000003</v>
      </c>
      <c r="D17" s="118">
        <v>148.18911095872966</v>
      </c>
      <c r="E17" s="28"/>
      <c r="G17" s="116" t="s">
        <v>27</v>
      </c>
      <c r="H17" s="117">
        <v>17287.11287000007</v>
      </c>
      <c r="I17" s="118">
        <v>234.24151621123013</v>
      </c>
    </row>
    <row r="18" spans="2:9" x14ac:dyDescent="0.3">
      <c r="B18" s="116" t="s">
        <v>131</v>
      </c>
      <c r="C18" s="117">
        <v>24274.367052004993</v>
      </c>
      <c r="D18" s="118">
        <v>18.704386017809149</v>
      </c>
      <c r="E18" s="28"/>
      <c r="G18" s="116" t="s">
        <v>131</v>
      </c>
      <c r="H18" s="117">
        <v>16766.290709999994</v>
      </c>
      <c r="I18" s="118">
        <v>94.31381584257899</v>
      </c>
    </row>
    <row r="19" spans="2:9" x14ac:dyDescent="0.3">
      <c r="B19" s="116" t="s">
        <v>11</v>
      </c>
      <c r="C19" s="117">
        <v>23627.655830000003</v>
      </c>
      <c r="D19" s="118">
        <v>38.836565445965746</v>
      </c>
      <c r="E19" s="28"/>
      <c r="G19" s="116" t="s">
        <v>10</v>
      </c>
      <c r="H19" s="117">
        <v>15891.898070000001</v>
      </c>
      <c r="I19" s="118">
        <v>210.14033473735969</v>
      </c>
    </row>
    <row r="20" spans="2:9" x14ac:dyDescent="0.3">
      <c r="B20" s="116" t="s">
        <v>12</v>
      </c>
      <c r="C20" s="117">
        <v>17874.18866</v>
      </c>
      <c r="D20" s="118">
        <v>40.883352675584291</v>
      </c>
      <c r="E20" s="28"/>
      <c r="G20" s="116" t="s">
        <v>132</v>
      </c>
      <c r="H20" s="117">
        <v>11824.968680000002</v>
      </c>
      <c r="I20" s="118">
        <v>-41.918589203048626</v>
      </c>
    </row>
    <row r="21" spans="2:9" x14ac:dyDescent="0.3">
      <c r="B21" s="116" t="s">
        <v>10</v>
      </c>
      <c r="C21" s="117">
        <v>13040.030859999993</v>
      </c>
      <c r="D21" s="118">
        <v>254.93055112932993</v>
      </c>
      <c r="E21" s="28"/>
      <c r="G21" s="116" t="s">
        <v>12</v>
      </c>
      <c r="H21" s="117">
        <v>10762.350899999998</v>
      </c>
      <c r="I21" s="118">
        <v>-20.244501162705287</v>
      </c>
    </row>
    <row r="22" spans="2:9" x14ac:dyDescent="0.3">
      <c r="B22" s="116" t="s">
        <v>22</v>
      </c>
      <c r="C22" s="117">
        <v>11264.837449999999</v>
      </c>
      <c r="D22" s="118">
        <v>28.824556360879662</v>
      </c>
      <c r="E22" s="28"/>
      <c r="G22" s="116" t="s">
        <v>66</v>
      </c>
      <c r="H22" s="117">
        <v>10494.824070000001</v>
      </c>
      <c r="I22" s="118">
        <v>547.96933963902359</v>
      </c>
    </row>
    <row r="23" spans="2:9" x14ac:dyDescent="0.3">
      <c r="B23" s="116" t="s">
        <v>23</v>
      </c>
      <c r="C23" s="117">
        <v>9214.1597399999991</v>
      </c>
      <c r="D23" s="118">
        <v>61.724896103735659</v>
      </c>
      <c r="E23" s="28"/>
      <c r="G23" s="116" t="s">
        <v>9</v>
      </c>
      <c r="H23" s="117">
        <v>10358.75259</v>
      </c>
      <c r="I23" s="118">
        <v>376.00511772635815</v>
      </c>
    </row>
    <row r="24" spans="2:9" x14ac:dyDescent="0.3">
      <c r="B24" s="116" t="s">
        <v>132</v>
      </c>
      <c r="C24" s="117">
        <v>8860.1885899999997</v>
      </c>
      <c r="D24" s="118">
        <v>-2.7095820382361913</v>
      </c>
      <c r="E24" s="28"/>
      <c r="G24" s="116" t="s">
        <v>21</v>
      </c>
      <c r="H24" s="117">
        <v>9795.0223000000005</v>
      </c>
      <c r="I24" s="118">
        <v>11.614494055413594</v>
      </c>
    </row>
    <row r="25" spans="2:9" x14ac:dyDescent="0.3">
      <c r="B25" s="116" t="s">
        <v>37</v>
      </c>
      <c r="C25" s="117">
        <v>6279.6996099999997</v>
      </c>
      <c r="D25" s="118">
        <v>212.22978078730418</v>
      </c>
      <c r="E25" s="28"/>
      <c r="G25" s="116" t="s">
        <v>15</v>
      </c>
      <c r="H25" s="117">
        <v>7918.0816399999967</v>
      </c>
      <c r="I25" s="118">
        <v>-12.129397904368844</v>
      </c>
    </row>
    <row r="26" spans="2:9" x14ac:dyDescent="0.3">
      <c r="B26" s="116" t="s">
        <v>20</v>
      </c>
      <c r="C26" s="117">
        <v>4352.4723599999998</v>
      </c>
      <c r="D26" s="118">
        <v>-13.882826660855862</v>
      </c>
      <c r="E26" s="28"/>
      <c r="G26" s="116" t="s">
        <v>23</v>
      </c>
      <c r="H26" s="117">
        <v>7574.5288700000001</v>
      </c>
      <c r="I26" s="118">
        <v>287.35003871619062</v>
      </c>
    </row>
    <row r="27" spans="2:9" x14ac:dyDescent="0.3">
      <c r="B27" s="116" t="s">
        <v>8</v>
      </c>
      <c r="C27" s="117">
        <v>4298.4024799999997</v>
      </c>
      <c r="D27" s="118">
        <v>-13.787116847094794</v>
      </c>
      <c r="E27" s="28"/>
      <c r="G27" s="116" t="s">
        <v>6</v>
      </c>
      <c r="H27" s="117">
        <v>7153.8217100000011</v>
      </c>
      <c r="I27" s="118">
        <v>138.15981746982021</v>
      </c>
    </row>
    <row r="28" spans="2:9" x14ac:dyDescent="0.3">
      <c r="B28" s="116" t="s">
        <v>134</v>
      </c>
      <c r="C28" s="117">
        <v>1747.89048</v>
      </c>
      <c r="D28" s="118">
        <v>32.479810759680895</v>
      </c>
      <c r="E28" s="28"/>
      <c r="G28" s="116" t="s">
        <v>7</v>
      </c>
      <c r="H28" s="117">
        <v>3690.1654499999991</v>
      </c>
      <c r="I28" s="118">
        <v>13.850202749327023</v>
      </c>
    </row>
    <row r="29" spans="2:9" x14ac:dyDescent="0.3">
      <c r="B29" s="116" t="s">
        <v>9</v>
      </c>
      <c r="C29" s="117">
        <v>1191.61375</v>
      </c>
      <c r="D29" s="118">
        <v>336.42289784463566</v>
      </c>
      <c r="E29" s="28"/>
      <c r="G29" s="116" t="s">
        <v>37</v>
      </c>
      <c r="H29" s="117">
        <v>2856.1612599999999</v>
      </c>
      <c r="I29" s="118">
        <v>42.271590266927149</v>
      </c>
    </row>
    <row r="30" spans="2:9" x14ac:dyDescent="0.3">
      <c r="B30" s="116" t="s">
        <v>133</v>
      </c>
      <c r="C30" s="117">
        <v>1059.24631</v>
      </c>
      <c r="D30" s="118">
        <v>78.962957368737818</v>
      </c>
      <c r="E30" s="28"/>
      <c r="G30" s="116" t="s">
        <v>140</v>
      </c>
      <c r="H30" s="117">
        <v>2779.8927100000001</v>
      </c>
      <c r="I30" s="118">
        <v>376.04964478390332</v>
      </c>
    </row>
    <row r="31" spans="2:9" x14ac:dyDescent="0.3">
      <c r="B31" s="116" t="s">
        <v>16</v>
      </c>
      <c r="C31" s="117">
        <v>962.41824999999994</v>
      </c>
      <c r="D31" s="118">
        <v>22.62872130624838</v>
      </c>
      <c r="E31" s="28"/>
      <c r="G31" s="116" t="s">
        <v>16</v>
      </c>
      <c r="H31" s="117">
        <v>2668.2970699999996</v>
      </c>
      <c r="I31" s="118">
        <v>797.27004037837298</v>
      </c>
    </row>
    <row r="32" spans="2:9" x14ac:dyDescent="0.3">
      <c r="B32" s="116" t="s">
        <v>15</v>
      </c>
      <c r="C32" s="117">
        <v>743.08113999999989</v>
      </c>
      <c r="D32" s="118">
        <v>27.176635612884436</v>
      </c>
      <c r="E32" s="28"/>
      <c r="G32" s="116" t="s">
        <v>135</v>
      </c>
      <c r="H32" s="117">
        <v>2519.9904200000001</v>
      </c>
      <c r="I32" s="118">
        <v>-83.220054431087576</v>
      </c>
    </row>
    <row r="33" spans="2:9" x14ac:dyDescent="0.3">
      <c r="B33" s="116" t="s">
        <v>13</v>
      </c>
      <c r="C33" s="117">
        <v>739.30714999999987</v>
      </c>
      <c r="D33" s="118">
        <v>116.71258195052272</v>
      </c>
      <c r="E33" s="28"/>
      <c r="G33" s="116" t="s">
        <v>38</v>
      </c>
      <c r="H33" s="117">
        <v>2481.0628600000005</v>
      </c>
      <c r="I33" s="118">
        <v>134.10763943698333</v>
      </c>
    </row>
    <row r="34" spans="2:9" x14ac:dyDescent="0.3">
      <c r="B34" s="116" t="s">
        <v>66</v>
      </c>
      <c r="C34" s="117">
        <v>193.5608</v>
      </c>
      <c r="D34" s="118">
        <v>-93.125857932427422</v>
      </c>
      <c r="E34" s="28"/>
      <c r="G34" s="116" t="s">
        <v>13</v>
      </c>
      <c r="H34" s="117">
        <v>2480.44265</v>
      </c>
      <c r="I34" s="118">
        <v>292.2218466911429</v>
      </c>
    </row>
    <row r="35" spans="2:9" x14ac:dyDescent="0.3">
      <c r="B35" s="116" t="s">
        <v>36</v>
      </c>
      <c r="C35" s="117">
        <v>157.51921000000002</v>
      </c>
      <c r="D35" s="118" t="s">
        <v>14</v>
      </c>
      <c r="E35" s="28"/>
      <c r="G35" s="116" t="s">
        <v>8</v>
      </c>
      <c r="H35" s="117">
        <v>2164.2293399999999</v>
      </c>
      <c r="I35" s="118">
        <v>-80.141168920757195</v>
      </c>
    </row>
    <row r="36" spans="2:9" x14ac:dyDescent="0.3">
      <c r="B36" s="116" t="s">
        <v>18</v>
      </c>
      <c r="C36" s="117">
        <v>94.401139999999998</v>
      </c>
      <c r="D36" s="118" t="s">
        <v>14</v>
      </c>
      <c r="E36" s="29"/>
      <c r="G36" s="116" t="s">
        <v>20</v>
      </c>
      <c r="H36" s="117">
        <v>1549.33779</v>
      </c>
      <c r="I36" s="118">
        <v>-34.959240592994391</v>
      </c>
    </row>
    <row r="37" spans="2:9" x14ac:dyDescent="0.3">
      <c r="B37" s="116" t="s">
        <v>26</v>
      </c>
      <c r="C37" s="117">
        <v>46.075940000000003</v>
      </c>
      <c r="D37" s="118">
        <v>-22.76966873515137</v>
      </c>
      <c r="G37" s="116" t="s">
        <v>17</v>
      </c>
      <c r="H37" s="117">
        <v>278.35347999999999</v>
      </c>
      <c r="I37" s="118">
        <v>-85.700181658593394</v>
      </c>
    </row>
    <row r="38" spans="2:9" x14ac:dyDescent="0.3">
      <c r="B38" s="116" t="s">
        <v>140</v>
      </c>
      <c r="C38" s="117">
        <v>10.797690000000001</v>
      </c>
      <c r="D38" s="118" t="s">
        <v>14</v>
      </c>
      <c r="G38" s="116" t="s">
        <v>36</v>
      </c>
      <c r="H38" s="117">
        <v>108.00965000000001</v>
      </c>
      <c r="I38" s="118" t="s">
        <v>14</v>
      </c>
    </row>
    <row r="39" spans="2:9" x14ac:dyDescent="0.3">
      <c r="B39" s="116" t="s">
        <v>139</v>
      </c>
      <c r="C39" s="117">
        <v>0.52081000007456169</v>
      </c>
      <c r="D39" s="118">
        <v>-53.787932544901928</v>
      </c>
      <c r="G39" s="116" t="s">
        <v>18</v>
      </c>
      <c r="H39" s="117">
        <v>68.909499999999994</v>
      </c>
      <c r="I39" s="118" t="s">
        <v>14</v>
      </c>
    </row>
    <row r="40" spans="2:9" x14ac:dyDescent="0.3">
      <c r="B40" s="116" t="s">
        <v>17</v>
      </c>
      <c r="C40" s="117">
        <v>0</v>
      </c>
      <c r="D40" s="118">
        <v>-100</v>
      </c>
      <c r="G40" s="116" t="s">
        <v>26</v>
      </c>
      <c r="H40" s="117">
        <v>60.055910000000004</v>
      </c>
      <c r="I40" s="118">
        <v>-80.102999006274914</v>
      </c>
    </row>
    <row r="41" spans="2:9" x14ac:dyDescent="0.3">
      <c r="B41" s="116" t="s">
        <v>135</v>
      </c>
      <c r="C41" s="117">
        <v>0</v>
      </c>
      <c r="D41" s="118">
        <v>-100</v>
      </c>
      <c r="G41" s="116" t="s">
        <v>143</v>
      </c>
      <c r="H41" s="117">
        <v>11.651679999999999</v>
      </c>
      <c r="I41" s="118" t="s">
        <v>14</v>
      </c>
    </row>
    <row r="42" spans="2:9" ht="15" thickBot="1" x14ac:dyDescent="0.35">
      <c r="B42" s="113" t="s">
        <v>38</v>
      </c>
      <c r="C42" s="114">
        <v>0</v>
      </c>
      <c r="D42" s="115">
        <v>-100</v>
      </c>
      <c r="G42" s="116" t="s">
        <v>67</v>
      </c>
      <c r="H42" s="117">
        <v>0</v>
      </c>
      <c r="I42" s="118">
        <v>-100</v>
      </c>
    </row>
    <row r="43" spans="2:9" ht="15" thickBot="1" x14ac:dyDescent="0.35">
      <c r="B43" s="113" t="s">
        <v>71</v>
      </c>
      <c r="C43" s="114">
        <v>0</v>
      </c>
      <c r="D43" s="115">
        <v>-100</v>
      </c>
      <c r="G43" s="113" t="s">
        <v>71</v>
      </c>
      <c r="H43" s="114">
        <v>0</v>
      </c>
      <c r="I43" s="115">
        <v>-100</v>
      </c>
    </row>
    <row r="44" spans="2:9" ht="15" thickBot="1" x14ac:dyDescent="0.35">
      <c r="C44" s="19">
        <f>+SUM(C8:C9)</f>
        <v>529943.83677100507</v>
      </c>
      <c r="G44" s="113" t="s">
        <v>22</v>
      </c>
      <c r="H44" s="114"/>
      <c r="I44" s="115">
        <v>-100</v>
      </c>
    </row>
    <row r="45" spans="2:9" ht="15" thickBot="1" x14ac:dyDescent="0.35">
      <c r="C45" s="31">
        <f>C8/$C$44</f>
        <v>0.27776774777853946</v>
      </c>
      <c r="G45" s="113" t="s">
        <v>22</v>
      </c>
      <c r="H45" s="114"/>
      <c r="I45" s="115">
        <v>106.22765117364401</v>
      </c>
    </row>
    <row r="46" spans="2:9" x14ac:dyDescent="0.3">
      <c r="C46" s="31">
        <f>C9/$C$44</f>
        <v>0.72223225222146059</v>
      </c>
    </row>
    <row r="47" spans="2:9" x14ac:dyDescent="0.3">
      <c r="H47" s="19">
        <f>+SUM(H8:H9)</f>
        <v>573050.15827000001</v>
      </c>
    </row>
    <row r="48" spans="2:9" x14ac:dyDescent="0.3">
      <c r="H48" s="31">
        <f>H8/$H$47</f>
        <v>0.46382545571999834</v>
      </c>
    </row>
    <row r="49" spans="8:8" x14ac:dyDescent="0.3">
      <c r="H49" s="31">
        <f>H9/$H$47</f>
        <v>0.53617454428000177</v>
      </c>
    </row>
  </sheetData>
  <mergeCells count="4">
    <mergeCell ref="C5:D5"/>
    <mergeCell ref="H5:I5"/>
    <mergeCell ref="C6:D6"/>
    <mergeCell ref="H6:I6"/>
  </mergeCells>
  <conditionalFormatting sqref="D12:D4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{AECA879F-0BB9-4395-B32B-52A5601D78D2}</x14:id>
        </ext>
      </extLst>
    </cfRule>
  </conditionalFormatting>
  <conditionalFormatting sqref="C12:C4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{FD4E0F12-FD73-48AA-9704-09E48DF11354}</x14:id>
        </ext>
      </extLst>
    </cfRule>
  </conditionalFormatting>
  <conditionalFormatting sqref="H12:H4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{AA7AA2F4-5B27-48A0-B23C-F1C12795EE0C}</x14:id>
        </ext>
      </extLst>
    </cfRule>
  </conditionalFormatting>
  <conditionalFormatting sqref="I12:I4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{9A927509-E045-4624-BEFC-47A0530CFBF0}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CA879F-0BB9-4395-B32B-52A5601D78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D12:D43</xm:sqref>
        </x14:conditionalFormatting>
        <x14:conditionalFormatting xmlns:xm="http://schemas.microsoft.com/office/excel/2006/main">
          <x14:cfRule type="dataBar" id="{FD4E0F12-FD73-48AA-9704-09E48DF113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C12:C43</xm:sqref>
        </x14:conditionalFormatting>
        <x14:conditionalFormatting xmlns:xm="http://schemas.microsoft.com/office/excel/2006/main">
          <x14:cfRule type="dataBar" id="{AA7AA2F4-5B27-48A0-B23C-F1C12795EE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H12:H45</xm:sqref>
        </x14:conditionalFormatting>
        <x14:conditionalFormatting xmlns:xm="http://schemas.microsoft.com/office/excel/2006/main">
          <x14:cfRule type="dataBar" id="{9A927509-E045-4624-BEFC-47A0530CFB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I12:I45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S66"/>
  <sheetViews>
    <sheetView topLeftCell="F1" workbookViewId="0">
      <selection activeCell="F17" sqref="F17"/>
    </sheetView>
  </sheetViews>
  <sheetFormatPr baseColWidth="10" defaultRowHeight="14.4" x14ac:dyDescent="0.3"/>
  <cols>
    <col min="2" max="2" width="19.33203125" customWidth="1"/>
    <col min="7" max="7" width="19.33203125" customWidth="1"/>
  </cols>
  <sheetData>
    <row r="1" spans="2:19" x14ac:dyDescent="0.3">
      <c r="C1" s="210" t="s">
        <v>61</v>
      </c>
      <c r="D1" s="210"/>
      <c r="E1" s="210"/>
      <c r="F1" s="32"/>
      <c r="G1" s="32"/>
      <c r="H1" s="210" t="s">
        <v>72</v>
      </c>
      <c r="I1" s="210"/>
      <c r="J1" s="210"/>
    </row>
    <row r="2" spans="2:19" x14ac:dyDescent="0.3">
      <c r="B2" s="11" t="s">
        <v>62</v>
      </c>
      <c r="C2" s="11" t="s">
        <v>58</v>
      </c>
      <c r="D2" s="11" t="s">
        <v>59</v>
      </c>
      <c r="E2" s="11" t="s">
        <v>60</v>
      </c>
      <c r="F2" s="11"/>
      <c r="G2" s="11" t="s">
        <v>62</v>
      </c>
      <c r="H2" s="11" t="s">
        <v>58</v>
      </c>
      <c r="I2" s="11" t="s">
        <v>59</v>
      </c>
      <c r="J2" s="11" t="s">
        <v>60</v>
      </c>
      <c r="L2" s="16" t="s">
        <v>61</v>
      </c>
      <c r="S2" s="16" t="s">
        <v>72</v>
      </c>
    </row>
    <row r="3" spans="2:19" x14ac:dyDescent="0.3">
      <c r="B3" t="s">
        <v>48</v>
      </c>
      <c r="C3" s="8">
        <v>93724.947345693989</v>
      </c>
      <c r="D3" s="9">
        <v>-14.394676375908617</v>
      </c>
      <c r="E3" s="10">
        <f>+(C3/$C$23)*100</f>
        <v>39.316066845460774</v>
      </c>
      <c r="F3" s="10"/>
      <c r="G3" t="s">
        <v>48</v>
      </c>
      <c r="H3" s="8">
        <v>192967.44720852704</v>
      </c>
      <c r="I3" s="8">
        <v>-43.178619859701797</v>
      </c>
      <c r="J3" s="10">
        <f>+(H3/$H$23)*100</f>
        <v>36.412810909226693</v>
      </c>
    </row>
    <row r="4" spans="2:19" x14ac:dyDescent="0.3">
      <c r="B4" t="s">
        <v>147</v>
      </c>
      <c r="C4" s="8">
        <v>18391.994510000004</v>
      </c>
      <c r="D4" s="9" t="s">
        <v>19</v>
      </c>
      <c r="E4" s="10">
        <f t="shared" ref="E4:E22" si="0">+(C4/$C$23)*100</f>
        <v>7.7151378160761297</v>
      </c>
      <c r="F4" s="10"/>
      <c r="G4" t="s">
        <v>42</v>
      </c>
      <c r="H4" s="8">
        <v>45085.587935187992</v>
      </c>
      <c r="I4" s="8">
        <v>27.768631886693456</v>
      </c>
      <c r="J4" s="10">
        <f t="shared" ref="J4:J22" si="1">+(H4/$H$23)*100</f>
        <v>8.507616242864243</v>
      </c>
    </row>
    <row r="5" spans="2:19" x14ac:dyDescent="0.3">
      <c r="B5" t="s">
        <v>42</v>
      </c>
      <c r="C5" s="8">
        <v>17531.915167792999</v>
      </c>
      <c r="D5" s="9">
        <v>36.609519815551664</v>
      </c>
      <c r="E5" s="10">
        <f t="shared" si="0"/>
        <v>7.3543487426409859</v>
      </c>
      <c r="F5" s="10"/>
      <c r="G5" t="s">
        <v>56</v>
      </c>
      <c r="H5" s="8">
        <v>24635.316689999996</v>
      </c>
      <c r="I5" s="8">
        <v>-58.513202450301272</v>
      </c>
      <c r="J5" s="10">
        <f t="shared" si="1"/>
        <v>4.6486655718283609</v>
      </c>
    </row>
    <row r="6" spans="2:19" x14ac:dyDescent="0.3">
      <c r="B6" t="s">
        <v>44</v>
      </c>
      <c r="C6" s="8">
        <v>10993.141147995</v>
      </c>
      <c r="D6" s="9">
        <v>41.534559498688481</v>
      </c>
      <c r="E6" s="10">
        <f t="shared" si="0"/>
        <v>4.6114410779235691</v>
      </c>
      <c r="F6" s="10"/>
      <c r="G6" t="s">
        <v>45</v>
      </c>
      <c r="H6" s="8">
        <v>21314.109903655997</v>
      </c>
      <c r="I6" s="8">
        <v>29.287326947317382</v>
      </c>
      <c r="J6" s="10">
        <f t="shared" si="1"/>
        <v>4.0219563706080184</v>
      </c>
    </row>
    <row r="7" spans="2:19" x14ac:dyDescent="0.3">
      <c r="B7" t="s">
        <v>148</v>
      </c>
      <c r="C7" s="8">
        <v>9177.6406400000033</v>
      </c>
      <c r="D7" s="9" t="s">
        <v>19</v>
      </c>
      <c r="E7" s="10">
        <f t="shared" si="0"/>
        <v>3.8498686113418779</v>
      </c>
      <c r="F7" s="10"/>
      <c r="G7" t="s">
        <v>41</v>
      </c>
      <c r="H7" s="8">
        <v>19500.775571410999</v>
      </c>
      <c r="I7" s="8">
        <v>-5.3682540963177559</v>
      </c>
      <c r="J7" s="10">
        <f t="shared" si="1"/>
        <v>3.6797815576516486</v>
      </c>
    </row>
    <row r="8" spans="2:19" x14ac:dyDescent="0.3">
      <c r="B8" t="s">
        <v>55</v>
      </c>
      <c r="C8" s="8">
        <v>8508.4249899999977</v>
      </c>
      <c r="D8" s="9" t="s">
        <v>19</v>
      </c>
      <c r="E8" s="10">
        <f t="shared" si="0"/>
        <v>3.5691437032511453</v>
      </c>
      <c r="F8" s="10"/>
      <c r="G8" t="s">
        <v>147</v>
      </c>
      <c r="H8" s="8">
        <v>18395.503110000005</v>
      </c>
      <c r="I8" s="8" t="s">
        <v>19</v>
      </c>
      <c r="J8" s="10">
        <f t="shared" si="1"/>
        <v>3.4712174826082403</v>
      </c>
    </row>
    <row r="9" spans="2:19" x14ac:dyDescent="0.3">
      <c r="B9" t="s">
        <v>45</v>
      </c>
      <c r="C9" s="8">
        <v>7932.5454059819986</v>
      </c>
      <c r="D9" s="9">
        <v>55.024150148184532</v>
      </c>
      <c r="E9" s="10">
        <f t="shared" si="0"/>
        <v>3.3275717326990808</v>
      </c>
      <c r="F9" s="10"/>
      <c r="G9" t="s">
        <v>55</v>
      </c>
      <c r="H9" s="8">
        <v>17695.271040129996</v>
      </c>
      <c r="I9" s="8">
        <v>175.54953846657548</v>
      </c>
      <c r="J9" s="10">
        <f t="shared" si="1"/>
        <v>3.3390842221977439</v>
      </c>
    </row>
    <row r="10" spans="2:19" x14ac:dyDescent="0.3">
      <c r="B10" t="s">
        <v>47</v>
      </c>
      <c r="C10" s="8">
        <v>5675.5097495320006</v>
      </c>
      <c r="D10" s="9">
        <v>245.78287539629025</v>
      </c>
      <c r="E10" s="10">
        <f t="shared" si="0"/>
        <v>2.3807825665843505</v>
      </c>
      <c r="F10" s="10"/>
      <c r="G10" t="s">
        <v>44</v>
      </c>
      <c r="H10" s="8">
        <v>16958.103507966</v>
      </c>
      <c r="I10" s="8">
        <v>6.2188070510563733</v>
      </c>
      <c r="J10" s="10">
        <f t="shared" si="1"/>
        <v>3.1999812680704496</v>
      </c>
    </row>
    <row r="11" spans="2:19" x14ac:dyDescent="0.3">
      <c r="B11" t="s">
        <v>41</v>
      </c>
      <c r="C11" s="8">
        <v>5267.2865923340014</v>
      </c>
      <c r="D11" s="9">
        <v>-37.919173228876723</v>
      </c>
      <c r="E11" s="10">
        <f t="shared" si="0"/>
        <v>2.2095396969878074</v>
      </c>
      <c r="F11" s="10"/>
      <c r="G11" t="s">
        <v>54</v>
      </c>
      <c r="H11" s="8">
        <v>15353.214370002997</v>
      </c>
      <c r="I11" s="8">
        <v>260.14680127423418</v>
      </c>
      <c r="J11" s="10">
        <f t="shared" si="1"/>
        <v>2.8971399051551385</v>
      </c>
    </row>
    <row r="12" spans="2:19" x14ac:dyDescent="0.3">
      <c r="B12" t="s">
        <v>56</v>
      </c>
      <c r="C12" s="8">
        <v>5265.54241</v>
      </c>
      <c r="D12" s="9">
        <v>-74.765276029107284</v>
      </c>
      <c r="E12" s="10">
        <f t="shared" si="0"/>
        <v>2.2088080413168649</v>
      </c>
      <c r="F12" s="10"/>
      <c r="G12" t="s">
        <v>43</v>
      </c>
      <c r="H12" s="8">
        <v>14727.174512222</v>
      </c>
      <c r="I12" s="8">
        <v>-17.219923435806635</v>
      </c>
      <c r="J12" s="10">
        <f t="shared" si="1"/>
        <v>2.7790066588859652</v>
      </c>
    </row>
    <row r="13" spans="2:19" x14ac:dyDescent="0.3">
      <c r="B13" t="s">
        <v>149</v>
      </c>
      <c r="C13" s="8">
        <v>4131.7529914289989</v>
      </c>
      <c r="D13" s="9">
        <v>-86.376509746266109</v>
      </c>
      <c r="E13" s="10">
        <f t="shared" si="0"/>
        <v>1.7332021132089568</v>
      </c>
      <c r="F13" s="10"/>
      <c r="G13" t="s">
        <v>47</v>
      </c>
      <c r="H13" s="8">
        <v>13937.089557334</v>
      </c>
      <c r="I13" s="8">
        <v>196.08401520260662</v>
      </c>
      <c r="J13" s="10">
        <f t="shared" si="1"/>
        <v>2.6299182272321397</v>
      </c>
    </row>
    <row r="14" spans="2:19" x14ac:dyDescent="0.3">
      <c r="B14" t="s">
        <v>53</v>
      </c>
      <c r="C14" s="8">
        <v>4091.9924500350007</v>
      </c>
      <c r="D14" s="9">
        <v>89.992747343974827</v>
      </c>
      <c r="E14" s="10">
        <f t="shared" si="0"/>
        <v>1.71652322303586</v>
      </c>
      <c r="F14" s="10"/>
      <c r="G14" t="s">
        <v>53</v>
      </c>
      <c r="H14" s="8">
        <v>11997.143440024</v>
      </c>
      <c r="I14" s="8">
        <v>45.540365457514071</v>
      </c>
      <c r="J14" s="10">
        <f t="shared" si="1"/>
        <v>2.2638518664777121</v>
      </c>
    </row>
    <row r="15" spans="2:19" x14ac:dyDescent="0.3">
      <c r="B15" t="s">
        <v>43</v>
      </c>
      <c r="C15" s="8">
        <v>4033.0370385599999</v>
      </c>
      <c r="D15" s="9">
        <v>-33.262670763441676</v>
      </c>
      <c r="E15" s="10">
        <f t="shared" si="0"/>
        <v>1.6917924020101247</v>
      </c>
      <c r="F15" s="10"/>
      <c r="G15" t="s">
        <v>149</v>
      </c>
      <c r="H15" s="8">
        <v>11204.655483805</v>
      </c>
      <c r="I15" s="8">
        <v>-67.58002327808947</v>
      </c>
      <c r="J15" s="10">
        <f t="shared" si="1"/>
        <v>2.1143099902955687</v>
      </c>
    </row>
    <row r="16" spans="2:19" x14ac:dyDescent="0.3">
      <c r="B16" t="s">
        <v>46</v>
      </c>
      <c r="C16" s="8">
        <v>3977.9244534010008</v>
      </c>
      <c r="D16" s="9">
        <v>-77.378757273615534</v>
      </c>
      <c r="E16" s="10">
        <f t="shared" si="0"/>
        <v>1.6686735831310349</v>
      </c>
      <c r="F16" s="10"/>
      <c r="G16" t="s">
        <v>46</v>
      </c>
      <c r="H16" s="8">
        <v>10174.569737007001</v>
      </c>
      <c r="I16" s="8">
        <v>-68.548860656746854</v>
      </c>
      <c r="J16" s="10">
        <f t="shared" si="1"/>
        <v>1.919933591265361</v>
      </c>
    </row>
    <row r="17" spans="2:11" x14ac:dyDescent="0.3">
      <c r="B17" t="s">
        <v>49</v>
      </c>
      <c r="C17" s="8">
        <v>3839.6736599999995</v>
      </c>
      <c r="D17" s="9">
        <v>242.63699379902471</v>
      </c>
      <c r="E17" s="10">
        <f t="shared" si="0"/>
        <v>1.6106796595415811</v>
      </c>
      <c r="F17" s="10"/>
      <c r="G17" t="s">
        <v>148</v>
      </c>
      <c r="H17" s="8">
        <v>9816.8719200000014</v>
      </c>
      <c r="I17" s="8" t="s">
        <v>19</v>
      </c>
      <c r="J17" s="10">
        <f t="shared" si="1"/>
        <v>1.8524362845344284</v>
      </c>
    </row>
    <row r="18" spans="2:11" x14ac:dyDescent="0.3">
      <c r="B18" t="s">
        <v>100</v>
      </c>
      <c r="C18" s="8">
        <v>2519.1636219999996</v>
      </c>
      <c r="D18" s="9">
        <v>190.62007084739452</v>
      </c>
      <c r="E18" s="10">
        <f t="shared" si="0"/>
        <v>1.0567475166659075</v>
      </c>
      <c r="F18" s="10"/>
      <c r="G18" t="s">
        <v>49</v>
      </c>
      <c r="H18" s="8">
        <v>9415.0640019999973</v>
      </c>
      <c r="I18" s="8">
        <v>186.95927117309992</v>
      </c>
      <c r="J18" s="10">
        <f t="shared" si="1"/>
        <v>1.7766154352066477</v>
      </c>
    </row>
    <row r="19" spans="2:11" x14ac:dyDescent="0.3">
      <c r="B19" t="s">
        <v>150</v>
      </c>
      <c r="C19" s="8">
        <v>1781.69901</v>
      </c>
      <c r="D19" s="9" t="s">
        <v>19</v>
      </c>
      <c r="E19" s="10">
        <f t="shared" si="0"/>
        <v>0.74739329665645926</v>
      </c>
      <c r="F19" s="10"/>
      <c r="G19" t="s">
        <v>100</v>
      </c>
      <c r="H19" s="8">
        <v>4883.5284039999988</v>
      </c>
      <c r="I19" s="8">
        <v>65.315798985837205</v>
      </c>
      <c r="J19" s="10">
        <f t="shared" si="1"/>
        <v>0.92151810534410061</v>
      </c>
    </row>
    <row r="20" spans="2:11" x14ac:dyDescent="0.3">
      <c r="B20" t="s">
        <v>51</v>
      </c>
      <c r="C20" s="8">
        <v>1695.3465300140003</v>
      </c>
      <c r="D20" s="9">
        <v>-48.542297132398758</v>
      </c>
      <c r="E20" s="10">
        <f t="shared" si="0"/>
        <v>0.71116985805714317</v>
      </c>
      <c r="F20" s="10"/>
      <c r="G20" t="s">
        <v>51</v>
      </c>
      <c r="H20" s="8">
        <v>4370.3937800380008</v>
      </c>
      <c r="I20" s="8">
        <v>-50.269728329573169</v>
      </c>
      <c r="J20" s="10">
        <f t="shared" si="1"/>
        <v>0.82468999105022123</v>
      </c>
    </row>
    <row r="21" spans="2:11" x14ac:dyDescent="0.3">
      <c r="B21" t="s">
        <v>54</v>
      </c>
      <c r="C21" s="8">
        <v>1658.3345299999999</v>
      </c>
      <c r="D21" s="9">
        <v>-2.7657065968590899</v>
      </c>
      <c r="E21" s="10">
        <f t="shared" si="0"/>
        <v>0.69564393558030868</v>
      </c>
      <c r="F21" s="10"/>
      <c r="G21" t="s">
        <v>99</v>
      </c>
      <c r="H21" s="8">
        <v>2699.7371059999996</v>
      </c>
      <c r="I21" s="8">
        <v>-29.901480744683667</v>
      </c>
      <c r="J21" s="10">
        <f t="shared" si="1"/>
        <v>0.50943834396673759</v>
      </c>
    </row>
    <row r="22" spans="2:11" x14ac:dyDescent="0.3">
      <c r="B22" t="s">
        <v>99</v>
      </c>
      <c r="C22" s="8">
        <v>1213.0706459999999</v>
      </c>
      <c r="D22" s="9">
        <v>-29.231949358194754</v>
      </c>
      <c r="E22" s="10">
        <f t="shared" si="0"/>
        <v>0.50886309309400168</v>
      </c>
      <c r="F22" s="10">
        <f>SUM(E3:E22)</f>
        <v>88.683397515263962</v>
      </c>
      <c r="G22" t="s">
        <v>101</v>
      </c>
      <c r="H22" s="8">
        <v>2255.883910005</v>
      </c>
      <c r="I22" s="8">
        <v>-38.539305680662054</v>
      </c>
      <c r="J22" s="10">
        <f t="shared" si="1"/>
        <v>0.42568358257552374</v>
      </c>
      <c r="K22" s="10">
        <f>SUM(J3:J22)</f>
        <v>88.195655607044955</v>
      </c>
    </row>
    <row r="23" spans="2:11" x14ac:dyDescent="0.3">
      <c r="B23" s="7" t="s">
        <v>57</v>
      </c>
      <c r="C23" s="8">
        <f>+MES!C45</f>
        <v>238388.41182689407</v>
      </c>
      <c r="D23" s="9">
        <v>2.9427707741098033</v>
      </c>
      <c r="E23" s="10">
        <v>100</v>
      </c>
      <c r="F23" s="10"/>
      <c r="G23" s="7" t="s">
        <v>57</v>
      </c>
      <c r="H23" s="8">
        <f>+'AÑO CORRIDO'!C44</f>
        <v>529943.83677100507</v>
      </c>
      <c r="I23" s="8">
        <v>7.4598957609574654</v>
      </c>
      <c r="J23" s="10">
        <v>100</v>
      </c>
    </row>
    <row r="24" spans="2:11" s="12" customFormat="1" x14ac:dyDescent="0.3">
      <c r="C24" s="13"/>
      <c r="D24" s="14"/>
      <c r="E24" s="15"/>
      <c r="F24" s="15"/>
      <c r="H24" s="13"/>
      <c r="I24" s="13"/>
      <c r="J24" s="15"/>
    </row>
    <row r="25" spans="2:11" x14ac:dyDescent="0.3">
      <c r="C25" s="8"/>
      <c r="D25" s="9"/>
      <c r="E25" s="10"/>
      <c r="F25" s="10"/>
      <c r="H25" s="8"/>
      <c r="I25" s="8"/>
      <c r="J25" s="10"/>
    </row>
    <row r="26" spans="2:11" x14ac:dyDescent="0.3">
      <c r="C26" s="8"/>
      <c r="D26" s="9"/>
      <c r="E26" s="10"/>
      <c r="F26" s="10"/>
      <c r="H26" s="8"/>
      <c r="I26" s="8"/>
      <c r="J26" s="10"/>
    </row>
    <row r="27" spans="2:11" x14ac:dyDescent="0.3">
      <c r="C27" s="8"/>
      <c r="D27" s="9"/>
      <c r="E27" s="10"/>
      <c r="F27" s="10"/>
      <c r="H27" s="8"/>
      <c r="I27" s="8"/>
      <c r="J27" s="10"/>
    </row>
    <row r="28" spans="2:11" x14ac:dyDescent="0.3">
      <c r="C28" s="8"/>
      <c r="D28" s="9"/>
      <c r="E28" s="10"/>
      <c r="F28" s="10"/>
      <c r="H28" s="8"/>
      <c r="I28" s="8"/>
      <c r="J28" s="10"/>
    </row>
    <row r="29" spans="2:11" x14ac:dyDescent="0.3">
      <c r="C29" s="8"/>
      <c r="D29" s="9"/>
      <c r="E29" s="10"/>
      <c r="F29" s="10"/>
      <c r="H29" s="8"/>
      <c r="I29" s="8"/>
      <c r="J29" s="10"/>
    </row>
    <row r="30" spans="2:11" x14ac:dyDescent="0.3">
      <c r="C30" s="8"/>
      <c r="D30" s="9"/>
      <c r="E30" s="10"/>
      <c r="F30" s="10"/>
      <c r="H30" s="8"/>
      <c r="I30" s="8"/>
      <c r="J30" s="10"/>
    </row>
    <row r="31" spans="2:11" x14ac:dyDescent="0.3">
      <c r="C31" s="8"/>
      <c r="D31" s="9"/>
      <c r="E31" s="10"/>
      <c r="F31" s="10"/>
      <c r="H31" s="8"/>
      <c r="I31" s="8"/>
      <c r="J31" s="10"/>
    </row>
    <row r="32" spans="2:11" x14ac:dyDescent="0.3">
      <c r="C32" s="8"/>
      <c r="D32" s="9"/>
      <c r="E32" s="10"/>
      <c r="F32" s="10"/>
      <c r="H32" s="8"/>
      <c r="I32" s="8"/>
      <c r="J32" s="10"/>
    </row>
    <row r="33" spans="3:10" x14ac:dyDescent="0.3">
      <c r="C33" s="8"/>
      <c r="D33" s="9"/>
      <c r="E33" s="10"/>
      <c r="F33" s="10"/>
      <c r="H33" s="8"/>
      <c r="I33" s="8"/>
      <c r="J33" s="10"/>
    </row>
    <row r="34" spans="3:10" x14ac:dyDescent="0.3">
      <c r="C34" s="8"/>
      <c r="D34" s="9"/>
      <c r="E34" s="10"/>
      <c r="F34" s="10"/>
      <c r="H34" s="8"/>
      <c r="I34" s="8"/>
      <c r="J34" s="10"/>
    </row>
    <row r="35" spans="3:10" x14ac:dyDescent="0.3">
      <c r="C35" s="8"/>
      <c r="D35" s="9"/>
      <c r="E35" s="10"/>
      <c r="F35" s="10"/>
      <c r="H35" s="8"/>
      <c r="I35" s="8"/>
      <c r="J35" s="10"/>
    </row>
    <row r="36" spans="3:10" x14ac:dyDescent="0.3">
      <c r="C36" s="8"/>
      <c r="D36" s="9"/>
      <c r="E36" s="10"/>
      <c r="F36" s="10"/>
      <c r="H36" s="8"/>
      <c r="I36" s="8"/>
      <c r="J36" s="10"/>
    </row>
    <row r="37" spans="3:10" x14ac:dyDescent="0.3">
      <c r="C37" s="8"/>
      <c r="D37" s="9"/>
      <c r="E37" s="10"/>
      <c r="F37" s="10"/>
      <c r="H37" s="8"/>
      <c r="I37" s="8"/>
      <c r="J37" s="10"/>
    </row>
    <row r="38" spans="3:10" x14ac:dyDescent="0.3">
      <c r="C38" s="8"/>
      <c r="D38" s="9"/>
      <c r="E38" s="10"/>
      <c r="F38" s="10"/>
      <c r="H38" s="8"/>
      <c r="I38" s="8"/>
      <c r="J38" s="10"/>
    </row>
    <row r="39" spans="3:10" x14ac:dyDescent="0.3">
      <c r="C39" s="8"/>
      <c r="D39" s="9"/>
      <c r="E39" s="10"/>
      <c r="F39" s="10"/>
      <c r="H39" s="8"/>
      <c r="I39" s="8"/>
      <c r="J39" s="10"/>
    </row>
    <row r="40" spans="3:10" x14ac:dyDescent="0.3">
      <c r="C40" s="8"/>
      <c r="D40" s="9"/>
      <c r="E40" s="10"/>
      <c r="F40" s="10"/>
      <c r="H40" s="8"/>
      <c r="I40" s="8"/>
      <c r="J40" s="10"/>
    </row>
    <row r="41" spans="3:10" x14ac:dyDescent="0.3">
      <c r="C41" s="8"/>
      <c r="D41" s="9"/>
      <c r="E41" s="10"/>
      <c r="F41" s="10"/>
      <c r="H41" s="8"/>
      <c r="I41" s="8"/>
      <c r="J41" s="10"/>
    </row>
    <row r="42" spans="3:10" x14ac:dyDescent="0.3">
      <c r="C42" s="8"/>
      <c r="D42" s="9"/>
      <c r="E42" s="10"/>
      <c r="F42" s="10"/>
      <c r="H42" s="8"/>
      <c r="I42" s="8"/>
      <c r="J42" s="10"/>
    </row>
    <row r="43" spans="3:10" x14ac:dyDescent="0.3">
      <c r="C43" s="8"/>
      <c r="D43" s="9"/>
      <c r="E43" s="10"/>
      <c r="F43" s="10"/>
      <c r="H43" s="8"/>
      <c r="I43" s="8"/>
      <c r="J43" s="10"/>
    </row>
    <row r="44" spans="3:10" x14ac:dyDescent="0.3">
      <c r="C44" s="8"/>
      <c r="D44" s="9"/>
      <c r="E44" s="10"/>
      <c r="F44" s="10"/>
      <c r="H44" s="8"/>
      <c r="I44" s="8"/>
      <c r="J44" s="10"/>
    </row>
    <row r="45" spans="3:10" x14ac:dyDescent="0.3">
      <c r="C45" s="8"/>
      <c r="D45" s="9"/>
      <c r="E45" s="10"/>
      <c r="F45" s="10"/>
      <c r="H45" s="8"/>
      <c r="I45" s="8"/>
      <c r="J45" s="10"/>
    </row>
    <row r="46" spans="3:10" x14ac:dyDescent="0.3">
      <c r="C46" s="8"/>
      <c r="D46" s="9"/>
      <c r="E46" s="10"/>
      <c r="F46" s="10"/>
      <c r="H46" s="8"/>
      <c r="I46" s="8"/>
      <c r="J46" s="10"/>
    </row>
    <row r="47" spans="3:10" x14ac:dyDescent="0.3">
      <c r="C47" s="8"/>
      <c r="D47" s="9"/>
      <c r="E47" s="10"/>
      <c r="F47" s="10"/>
      <c r="H47" s="8"/>
      <c r="I47" s="8"/>
      <c r="J47" s="10"/>
    </row>
    <row r="48" spans="3:10" x14ac:dyDescent="0.3">
      <c r="C48" s="8"/>
      <c r="D48" s="9"/>
      <c r="E48" s="10"/>
      <c r="F48" s="10"/>
      <c r="H48" s="8"/>
      <c r="I48" s="8"/>
      <c r="J48" s="10"/>
    </row>
    <row r="49" spans="3:10" x14ac:dyDescent="0.3">
      <c r="C49" s="8"/>
      <c r="D49" s="9"/>
      <c r="E49" s="10"/>
      <c r="F49" s="10"/>
      <c r="H49" s="8"/>
      <c r="I49" s="8"/>
      <c r="J49" s="10"/>
    </row>
    <row r="50" spans="3:10" x14ac:dyDescent="0.3">
      <c r="C50" s="8"/>
      <c r="D50" s="9"/>
      <c r="E50" s="10"/>
      <c r="F50" s="10"/>
      <c r="H50" s="8"/>
      <c r="I50" s="8"/>
      <c r="J50" s="10"/>
    </row>
    <row r="51" spans="3:10" x14ac:dyDescent="0.3">
      <c r="C51" s="8"/>
      <c r="D51" s="9"/>
      <c r="E51" s="10"/>
      <c r="F51" s="10"/>
      <c r="H51" s="8"/>
      <c r="I51" s="8"/>
      <c r="J51" s="10"/>
    </row>
    <row r="52" spans="3:10" x14ac:dyDescent="0.3">
      <c r="C52" s="8"/>
      <c r="D52" s="9"/>
      <c r="E52" s="10"/>
      <c r="F52" s="10"/>
      <c r="H52" s="8"/>
      <c r="I52" s="8"/>
      <c r="J52" s="10"/>
    </row>
    <row r="53" spans="3:10" x14ac:dyDescent="0.3">
      <c r="C53" s="8"/>
      <c r="D53" s="9"/>
      <c r="E53" s="10"/>
      <c r="F53" s="10"/>
      <c r="H53" s="8"/>
      <c r="I53" s="8"/>
      <c r="J53" s="10"/>
    </row>
    <row r="54" spans="3:10" x14ac:dyDescent="0.3">
      <c r="C54" s="8"/>
      <c r="D54" s="9"/>
      <c r="E54" s="10"/>
      <c r="F54" s="10"/>
      <c r="H54" s="8"/>
      <c r="I54" s="8"/>
      <c r="J54" s="10"/>
    </row>
    <row r="55" spans="3:10" x14ac:dyDescent="0.3">
      <c r="C55" s="8"/>
      <c r="D55" s="9"/>
      <c r="E55" s="10"/>
      <c r="F55" s="10"/>
      <c r="H55" s="8"/>
      <c r="I55" s="8"/>
      <c r="J55" s="10"/>
    </row>
    <row r="56" spans="3:10" x14ac:dyDescent="0.3">
      <c r="C56" s="8"/>
      <c r="D56" s="9"/>
      <c r="E56" s="10"/>
      <c r="F56" s="10"/>
      <c r="H56" s="8"/>
      <c r="I56" s="8"/>
      <c r="J56" s="10"/>
    </row>
    <row r="57" spans="3:10" x14ac:dyDescent="0.3">
      <c r="C57" s="8"/>
      <c r="D57" s="9"/>
      <c r="E57" s="10"/>
      <c r="F57" s="10"/>
      <c r="H57" s="8"/>
      <c r="I57" s="8"/>
      <c r="J57" s="10"/>
    </row>
    <row r="58" spans="3:10" x14ac:dyDescent="0.3">
      <c r="C58" s="8"/>
      <c r="D58" s="9"/>
      <c r="E58" s="10"/>
      <c r="F58" s="10"/>
      <c r="H58" s="8"/>
      <c r="I58" s="8"/>
      <c r="J58" s="10"/>
    </row>
    <row r="59" spans="3:10" x14ac:dyDescent="0.3">
      <c r="C59" s="8"/>
      <c r="D59" s="9"/>
      <c r="E59" s="10"/>
      <c r="F59" s="10"/>
      <c r="H59" s="8"/>
      <c r="I59" s="8"/>
      <c r="J59" s="10"/>
    </row>
    <row r="60" spans="3:10" x14ac:dyDescent="0.3">
      <c r="C60" s="8"/>
      <c r="D60" s="9"/>
      <c r="E60" s="10"/>
      <c r="F60" s="10"/>
      <c r="H60" s="8"/>
      <c r="I60" s="8"/>
      <c r="J60" s="10"/>
    </row>
    <row r="61" spans="3:10" x14ac:dyDescent="0.3">
      <c r="C61" s="8"/>
      <c r="D61" s="9"/>
      <c r="E61" s="10"/>
      <c r="F61" s="10"/>
      <c r="H61" s="8"/>
      <c r="I61" s="8"/>
      <c r="J61" s="10"/>
    </row>
    <row r="62" spans="3:10" x14ac:dyDescent="0.3">
      <c r="C62" s="8"/>
      <c r="D62" s="9"/>
      <c r="E62" s="10"/>
      <c r="F62" s="10"/>
      <c r="H62" s="8"/>
      <c r="I62" s="8"/>
      <c r="J62" s="10"/>
    </row>
    <row r="63" spans="3:10" x14ac:dyDescent="0.3">
      <c r="C63" s="8"/>
      <c r="D63" s="9"/>
      <c r="E63" s="10"/>
      <c r="F63" s="10"/>
      <c r="H63" s="8"/>
      <c r="I63" s="8"/>
      <c r="J63" s="10"/>
    </row>
    <row r="64" spans="3:10" x14ac:dyDescent="0.3">
      <c r="C64" s="8"/>
      <c r="D64" s="9"/>
      <c r="E64" s="10"/>
      <c r="F64" s="10"/>
      <c r="H64" s="8"/>
      <c r="I64" s="8"/>
      <c r="J64" s="10"/>
    </row>
    <row r="65" spans="3:10" x14ac:dyDescent="0.3">
      <c r="C65" s="8"/>
      <c r="D65" s="9"/>
      <c r="E65" s="10"/>
      <c r="F65" s="10"/>
      <c r="H65" s="8"/>
      <c r="I65" s="8"/>
      <c r="J65" s="10"/>
    </row>
    <row r="66" spans="3:10" x14ac:dyDescent="0.3">
      <c r="C66" s="8"/>
      <c r="D66" s="9"/>
      <c r="E66" s="10"/>
      <c r="F66" s="10"/>
      <c r="H66" s="8"/>
      <c r="I66" s="8"/>
      <c r="J66" s="10"/>
    </row>
  </sheetData>
  <mergeCells count="2">
    <mergeCell ref="C1:E1"/>
    <mergeCell ref="H1:J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S70"/>
  <sheetViews>
    <sheetView topLeftCell="E1" workbookViewId="0">
      <selection activeCell="E28" sqref="E28"/>
    </sheetView>
  </sheetViews>
  <sheetFormatPr baseColWidth="10" defaultRowHeight="14.4" x14ac:dyDescent="0.3"/>
  <cols>
    <col min="2" max="2" width="19.33203125" customWidth="1"/>
    <col min="7" max="7" width="19.33203125" customWidth="1"/>
  </cols>
  <sheetData>
    <row r="1" spans="2:19" x14ac:dyDescent="0.3">
      <c r="C1" s="210" t="s">
        <v>61</v>
      </c>
      <c r="D1" s="210"/>
      <c r="E1" s="210"/>
      <c r="F1" s="32"/>
      <c r="H1" s="210" t="s">
        <v>72</v>
      </c>
      <c r="I1" s="210"/>
      <c r="J1" s="210"/>
    </row>
    <row r="2" spans="2:19" x14ac:dyDescent="0.3">
      <c r="B2" s="11" t="s">
        <v>62</v>
      </c>
      <c r="C2" s="11" t="s">
        <v>58</v>
      </c>
      <c r="D2" s="11" t="s">
        <v>59</v>
      </c>
      <c r="E2" s="11" t="s">
        <v>60</v>
      </c>
      <c r="F2" s="11"/>
      <c r="G2" s="11" t="s">
        <v>62</v>
      </c>
      <c r="H2" s="11" t="s">
        <v>58</v>
      </c>
      <c r="I2" s="11" t="s">
        <v>59</v>
      </c>
      <c r="J2" s="11" t="s">
        <v>60</v>
      </c>
      <c r="L2" s="16" t="s">
        <v>61</v>
      </c>
      <c r="S2" s="16" t="s">
        <v>72</v>
      </c>
    </row>
    <row r="3" spans="2:19" x14ac:dyDescent="0.3">
      <c r="B3" t="s">
        <v>48</v>
      </c>
      <c r="C3" s="8">
        <v>146540.50452000002</v>
      </c>
      <c r="D3" s="8">
        <v>127.83245033290052</v>
      </c>
      <c r="E3" s="10">
        <f>+(C3/$C$23)*100</f>
        <v>55.002697512133913</v>
      </c>
      <c r="F3" s="10"/>
      <c r="G3" t="s">
        <v>48</v>
      </c>
      <c r="H3" s="8">
        <v>268764.30331000005</v>
      </c>
      <c r="I3" s="8">
        <v>49.691434139598513</v>
      </c>
      <c r="J3" s="10">
        <f>+(H3/$H$23)*100</f>
        <v>46.900659467817171</v>
      </c>
    </row>
    <row r="4" spans="2:19" x14ac:dyDescent="0.3">
      <c r="B4" t="s">
        <v>55</v>
      </c>
      <c r="C4" s="8">
        <v>35973.249840000004</v>
      </c>
      <c r="D4" s="8">
        <v>64.690437294129751</v>
      </c>
      <c r="E4" s="10">
        <f t="shared" ref="E4:E22" si="0">+(C4/$C$23)*100</f>
        <v>13.502244897811819</v>
      </c>
      <c r="F4" s="10"/>
      <c r="G4" t="s">
        <v>55</v>
      </c>
      <c r="H4" s="8">
        <v>95183.923789999972</v>
      </c>
      <c r="I4" s="8">
        <v>68.714184624329278</v>
      </c>
      <c r="J4" s="10">
        <f t="shared" ref="J4:J22" si="1">+(H4/$H$23)*100</f>
        <v>16.610051042888436</v>
      </c>
    </row>
    <row r="5" spans="2:19" x14ac:dyDescent="0.3">
      <c r="B5" t="s">
        <v>50</v>
      </c>
      <c r="C5" s="8">
        <v>13931.720369999994</v>
      </c>
      <c r="D5" s="8">
        <v>5.9174600354348517</v>
      </c>
      <c r="E5" s="10">
        <f t="shared" si="0"/>
        <v>5.2291494685700428</v>
      </c>
      <c r="F5" s="10"/>
      <c r="G5" t="s">
        <v>56</v>
      </c>
      <c r="H5" s="8">
        <v>37811.458120000003</v>
      </c>
      <c r="I5" s="8">
        <v>-2.2299984256947791</v>
      </c>
      <c r="J5" s="10">
        <f t="shared" si="1"/>
        <v>6.5982807219092763</v>
      </c>
    </row>
    <row r="6" spans="2:19" x14ac:dyDescent="0.3">
      <c r="B6" t="s">
        <v>56</v>
      </c>
      <c r="C6" s="8">
        <v>11106.20825</v>
      </c>
      <c r="D6" s="8">
        <v>-9.5423991263846268</v>
      </c>
      <c r="E6" s="10">
        <f t="shared" si="0"/>
        <v>4.1686181911441675</v>
      </c>
      <c r="F6" s="10"/>
      <c r="G6" t="s">
        <v>50</v>
      </c>
      <c r="H6" s="8">
        <v>28811.216189999996</v>
      </c>
      <c r="I6" s="8">
        <v>13.669991624232502</v>
      </c>
      <c r="J6" s="10">
        <f t="shared" si="1"/>
        <v>5.0276953551464194</v>
      </c>
    </row>
    <row r="7" spans="2:19" x14ac:dyDescent="0.3">
      <c r="B7" t="s">
        <v>53</v>
      </c>
      <c r="C7" s="8">
        <v>8646.3260100000007</v>
      </c>
      <c r="D7" s="8">
        <v>170.83449079441158</v>
      </c>
      <c r="E7" s="10">
        <f t="shared" si="0"/>
        <v>3.2453228933330123</v>
      </c>
      <c r="F7" s="10"/>
      <c r="G7" t="s">
        <v>53</v>
      </c>
      <c r="H7" s="8">
        <v>17069.816930000001</v>
      </c>
      <c r="I7" s="8">
        <v>127.01026082089695</v>
      </c>
      <c r="J7" s="10">
        <f t="shared" si="1"/>
        <v>2.9787648923320487</v>
      </c>
    </row>
    <row r="8" spans="2:19" x14ac:dyDescent="0.3">
      <c r="B8" t="s">
        <v>51</v>
      </c>
      <c r="C8" s="8">
        <v>6199.3405100000009</v>
      </c>
      <c r="D8" s="8">
        <v>40.563375725189509</v>
      </c>
      <c r="E8" s="10">
        <f t="shared" si="0"/>
        <v>2.3268682741549496</v>
      </c>
      <c r="F8" s="10"/>
      <c r="G8" t="s">
        <v>51</v>
      </c>
      <c r="H8" s="8">
        <v>14305.380720000003</v>
      </c>
      <c r="I8" s="8">
        <v>18.578582735469929</v>
      </c>
      <c r="J8" s="10">
        <f t="shared" si="1"/>
        <v>2.4963575201142931</v>
      </c>
    </row>
    <row r="9" spans="2:19" x14ac:dyDescent="0.3">
      <c r="B9" t="s">
        <v>44</v>
      </c>
      <c r="C9" s="8">
        <v>5029.9963899999984</v>
      </c>
      <c r="D9" s="8">
        <v>27.857186693924028</v>
      </c>
      <c r="E9" s="10">
        <f t="shared" si="0"/>
        <v>1.8879651795421255</v>
      </c>
      <c r="F9" s="10"/>
      <c r="G9" t="s">
        <v>44</v>
      </c>
      <c r="H9" s="8">
        <v>10842.815789999999</v>
      </c>
      <c r="I9" s="8">
        <v>25.639729076606031</v>
      </c>
      <c r="J9" s="10">
        <f t="shared" si="1"/>
        <v>1.8921233392088632</v>
      </c>
    </row>
    <row r="10" spans="2:19" x14ac:dyDescent="0.3">
      <c r="B10" t="s">
        <v>52</v>
      </c>
      <c r="C10" s="8">
        <v>4596.1120499999997</v>
      </c>
      <c r="D10" s="8">
        <v>97.94071863933496</v>
      </c>
      <c r="E10" s="10">
        <f t="shared" si="0"/>
        <v>1.7251104849548369</v>
      </c>
      <c r="F10" s="10"/>
      <c r="G10" t="s">
        <v>144</v>
      </c>
      <c r="H10" s="8">
        <v>9217.3875399999997</v>
      </c>
      <c r="I10" s="8" t="s">
        <v>19</v>
      </c>
      <c r="J10" s="10">
        <f t="shared" si="1"/>
        <v>1.608478316771899</v>
      </c>
    </row>
    <row r="11" spans="2:19" x14ac:dyDescent="0.3">
      <c r="B11" t="s">
        <v>54</v>
      </c>
      <c r="C11" s="8">
        <v>2588.9199299999991</v>
      </c>
      <c r="D11" s="8">
        <v>53.892119844927031</v>
      </c>
      <c r="E11" s="10">
        <f t="shared" si="0"/>
        <v>0.97172846687920522</v>
      </c>
      <c r="F11" s="10"/>
      <c r="G11" t="s">
        <v>52</v>
      </c>
      <c r="H11" s="8">
        <v>8963.6350899999998</v>
      </c>
      <c r="I11" s="8">
        <v>78.373183672060165</v>
      </c>
      <c r="J11" s="10">
        <f t="shared" si="1"/>
        <v>1.5641972976782021</v>
      </c>
    </row>
    <row r="12" spans="2:19" x14ac:dyDescent="0.3">
      <c r="B12" t="s">
        <v>144</v>
      </c>
      <c r="C12" s="8">
        <v>2578.8084599999997</v>
      </c>
      <c r="D12" s="8" t="s">
        <v>19</v>
      </c>
      <c r="E12" s="10">
        <f t="shared" si="0"/>
        <v>0.96793321499553875</v>
      </c>
      <c r="F12" s="10"/>
      <c r="G12" t="s">
        <v>45</v>
      </c>
      <c r="H12" s="8">
        <v>8078.9865899999995</v>
      </c>
      <c r="I12" s="8">
        <v>109.22919541231262</v>
      </c>
      <c r="J12" s="10">
        <f t="shared" si="1"/>
        <v>1.4098218931463029</v>
      </c>
    </row>
    <row r="13" spans="2:19" x14ac:dyDescent="0.3">
      <c r="B13" t="s">
        <v>100</v>
      </c>
      <c r="C13" s="8">
        <v>2220.8376899999998</v>
      </c>
      <c r="D13" s="8" t="s">
        <v>19</v>
      </c>
      <c r="E13" s="10">
        <f t="shared" si="0"/>
        <v>0.83357201537370695</v>
      </c>
      <c r="F13" s="10"/>
      <c r="G13" t="s">
        <v>54</v>
      </c>
      <c r="H13" s="8">
        <v>6133.3655099999996</v>
      </c>
      <c r="I13" s="8">
        <v>12.775502887171331</v>
      </c>
      <c r="J13" s="10">
        <f t="shared" si="1"/>
        <v>1.0703016867696571</v>
      </c>
    </row>
    <row r="14" spans="2:19" x14ac:dyDescent="0.3">
      <c r="B14" t="s">
        <v>45</v>
      </c>
      <c r="C14" s="8">
        <v>2066.5974300000003</v>
      </c>
      <c r="D14" s="8">
        <v>34.590449596745202</v>
      </c>
      <c r="E14" s="10">
        <f t="shared" si="0"/>
        <v>0.77567928194303271</v>
      </c>
      <c r="F14" s="10"/>
      <c r="G14" t="s">
        <v>100</v>
      </c>
      <c r="H14" s="8">
        <v>3307.56333</v>
      </c>
      <c r="I14" s="8">
        <v>636.15259057096387</v>
      </c>
      <c r="J14" s="10">
        <f t="shared" si="1"/>
        <v>0.57718565857922655</v>
      </c>
    </row>
    <row r="15" spans="2:19" x14ac:dyDescent="0.3">
      <c r="B15" t="s">
        <v>141</v>
      </c>
      <c r="C15" s="8">
        <v>1890.2908</v>
      </c>
      <c r="D15" s="8">
        <v>783.56197006999309</v>
      </c>
      <c r="E15" s="10">
        <f t="shared" si="0"/>
        <v>0.70950412940730345</v>
      </c>
      <c r="F15" s="10"/>
      <c r="G15" t="s">
        <v>43</v>
      </c>
      <c r="H15" s="8">
        <v>2939.5386300000005</v>
      </c>
      <c r="I15" s="8">
        <v>61.187650645002066</v>
      </c>
      <c r="J15" s="10">
        <f t="shared" si="1"/>
        <v>0.51296358400358366</v>
      </c>
    </row>
    <row r="16" spans="2:19" x14ac:dyDescent="0.3">
      <c r="B16" t="s">
        <v>151</v>
      </c>
      <c r="C16" s="8">
        <v>1233.5912599999999</v>
      </c>
      <c r="D16" s="8">
        <v>-82.481618431696987</v>
      </c>
      <c r="E16" s="10">
        <f t="shared" si="0"/>
        <v>0.46301769704997686</v>
      </c>
      <c r="F16" s="10"/>
      <c r="G16" t="s">
        <v>141</v>
      </c>
      <c r="H16" s="8">
        <v>2372.0771800000002</v>
      </c>
      <c r="I16" s="8">
        <v>366.94755312187306</v>
      </c>
      <c r="J16" s="10">
        <f t="shared" si="1"/>
        <v>0.41393884039071593</v>
      </c>
    </row>
    <row r="17" spans="2:11" x14ac:dyDescent="0.3">
      <c r="B17" t="s">
        <v>43</v>
      </c>
      <c r="C17" s="8">
        <v>1063.2702400000003</v>
      </c>
      <c r="D17" s="8">
        <v>119.44091667079442</v>
      </c>
      <c r="E17" s="10">
        <f t="shared" si="0"/>
        <v>0.39908919090961809</v>
      </c>
      <c r="F17" s="10"/>
      <c r="G17" t="s">
        <v>68</v>
      </c>
      <c r="H17" s="8">
        <v>2169.29223</v>
      </c>
      <c r="I17" s="8">
        <v>54.463733789100147</v>
      </c>
      <c r="J17" s="10">
        <f t="shared" si="1"/>
        <v>0.3785518944011721</v>
      </c>
    </row>
    <row r="18" spans="2:11" x14ac:dyDescent="0.3">
      <c r="B18" t="s">
        <v>68</v>
      </c>
      <c r="C18" s="8">
        <v>749.12363000000005</v>
      </c>
      <c r="D18" s="8">
        <v>467.57345491695099</v>
      </c>
      <c r="E18" s="10">
        <f t="shared" si="0"/>
        <v>0.28117700669208617</v>
      </c>
      <c r="F18" s="10"/>
      <c r="G18" t="s">
        <v>42</v>
      </c>
      <c r="H18" s="8">
        <v>1732.75323</v>
      </c>
      <c r="I18" s="8">
        <v>53.831083300661398</v>
      </c>
      <c r="J18" s="10">
        <f t="shared" si="1"/>
        <v>0.3023737459965225</v>
      </c>
    </row>
    <row r="19" spans="2:11" x14ac:dyDescent="0.3">
      <c r="B19" t="s">
        <v>41</v>
      </c>
      <c r="C19" s="8">
        <v>577.80151999999998</v>
      </c>
      <c r="D19" s="8" t="s">
        <v>19</v>
      </c>
      <c r="E19" s="10">
        <f t="shared" si="0"/>
        <v>0.21687275017040586</v>
      </c>
      <c r="F19" s="10"/>
      <c r="G19" t="s">
        <v>151</v>
      </c>
      <c r="H19" s="8">
        <v>1690.73028</v>
      </c>
      <c r="I19" s="8">
        <v>-82.082529188146779</v>
      </c>
      <c r="J19" s="10">
        <f t="shared" si="1"/>
        <v>0.2950405397503425</v>
      </c>
    </row>
    <row r="20" spans="2:11" x14ac:dyDescent="0.3">
      <c r="B20" t="s">
        <v>83</v>
      </c>
      <c r="C20" s="8">
        <v>577.41003000000001</v>
      </c>
      <c r="D20" s="8">
        <v>-52.136146407994573</v>
      </c>
      <c r="E20" s="10">
        <f t="shared" si="0"/>
        <v>0.21672580782078343</v>
      </c>
      <c r="F20" s="10"/>
      <c r="G20" t="s">
        <v>83</v>
      </c>
      <c r="H20" s="8">
        <v>1458.8130000000001</v>
      </c>
      <c r="I20" s="8">
        <v>-55.036854132649871</v>
      </c>
      <c r="J20" s="10">
        <f t="shared" si="1"/>
        <v>0.25456986250628716</v>
      </c>
    </row>
    <row r="21" spans="2:11" x14ac:dyDescent="0.3">
      <c r="B21" t="s">
        <v>42</v>
      </c>
      <c r="C21" s="8">
        <v>543.86225000000002</v>
      </c>
      <c r="D21" s="8">
        <v>164.41660344261351</v>
      </c>
      <c r="E21" s="10">
        <f t="shared" si="0"/>
        <v>0.20413394182722958</v>
      </c>
      <c r="F21" s="10"/>
      <c r="G21" t="s">
        <v>138</v>
      </c>
      <c r="H21" s="8">
        <v>1131.6991</v>
      </c>
      <c r="I21" s="8">
        <v>50.405680339444793</v>
      </c>
      <c r="J21" s="10">
        <f t="shared" si="1"/>
        <v>0.19748691866982876</v>
      </c>
    </row>
    <row r="22" spans="2:11" x14ac:dyDescent="0.3">
      <c r="B22" t="s">
        <v>138</v>
      </c>
      <c r="C22" s="8">
        <v>448.53194000000002</v>
      </c>
      <c r="D22" s="8">
        <v>41.870562214984218</v>
      </c>
      <c r="E22" s="10">
        <f t="shared" si="0"/>
        <v>0.1683525432177255</v>
      </c>
      <c r="F22" s="10">
        <f>SUM(E3:E22)</f>
        <v>93.295762947931451</v>
      </c>
      <c r="G22" t="s">
        <v>102</v>
      </c>
      <c r="H22" s="8">
        <v>1007.0971399999999</v>
      </c>
      <c r="I22" s="8">
        <v>-50.133789970670996</v>
      </c>
      <c r="J22" s="10">
        <f t="shared" si="1"/>
        <v>0.1757432792690187</v>
      </c>
      <c r="K22" s="10">
        <f>SUM(J3:J22)</f>
        <v>91.264585857349246</v>
      </c>
    </row>
    <row r="23" spans="2:11" x14ac:dyDescent="0.3">
      <c r="B23" s="7" t="s">
        <v>57</v>
      </c>
      <c r="C23" s="8">
        <f>+MES!H48</f>
        <v>266424.2139899999</v>
      </c>
      <c r="D23" s="8">
        <v>-44.231516845781215</v>
      </c>
      <c r="E23" s="10">
        <v>100</v>
      </c>
      <c r="F23" s="10"/>
      <c r="G23" s="7" t="s">
        <v>57</v>
      </c>
      <c r="H23" s="8">
        <f>+'AÑO CORRIDO'!H47</f>
        <v>573050.15827000001</v>
      </c>
      <c r="I23" s="8">
        <v>-16.761702067502881</v>
      </c>
      <c r="J23" s="10">
        <v>100</v>
      </c>
    </row>
    <row r="24" spans="2:11" s="12" customFormat="1" x14ac:dyDescent="0.3">
      <c r="C24" s="13"/>
      <c r="D24" s="13"/>
      <c r="E24" s="15"/>
      <c r="F24" s="15"/>
      <c r="H24" s="13"/>
      <c r="I24" s="13"/>
      <c r="J24" s="15"/>
    </row>
    <row r="25" spans="2:11" x14ac:dyDescent="0.3">
      <c r="C25" s="8"/>
      <c r="D25" s="8"/>
      <c r="E25" s="10"/>
      <c r="F25" s="10"/>
      <c r="H25" s="8"/>
      <c r="I25" s="8"/>
      <c r="J25" s="10"/>
    </row>
    <row r="26" spans="2:11" x14ac:dyDescent="0.3">
      <c r="C26" s="8"/>
      <c r="D26" s="8"/>
      <c r="E26" s="10"/>
      <c r="F26" s="10"/>
      <c r="H26" s="8"/>
      <c r="I26" s="8"/>
      <c r="J26" s="10"/>
    </row>
    <row r="27" spans="2:11" x14ac:dyDescent="0.3">
      <c r="C27" s="8"/>
      <c r="D27" s="8"/>
      <c r="E27" s="10"/>
      <c r="F27" s="10"/>
      <c r="H27" s="8"/>
      <c r="I27" s="8"/>
      <c r="J27" s="10"/>
    </row>
    <row r="28" spans="2:11" x14ac:dyDescent="0.3">
      <c r="C28" s="8"/>
      <c r="D28" s="8"/>
      <c r="E28" s="10"/>
      <c r="F28" s="10"/>
      <c r="H28" s="8"/>
      <c r="I28" s="8"/>
      <c r="J28" s="10"/>
    </row>
    <row r="29" spans="2:11" x14ac:dyDescent="0.3">
      <c r="C29" s="8"/>
      <c r="D29" s="8"/>
      <c r="E29" s="10"/>
      <c r="F29" s="10"/>
      <c r="H29" s="8"/>
      <c r="I29" s="8"/>
      <c r="J29" s="10"/>
    </row>
    <row r="30" spans="2:11" x14ac:dyDescent="0.3">
      <c r="C30" s="8"/>
      <c r="D30" s="8"/>
      <c r="E30" s="10"/>
      <c r="F30" s="10"/>
      <c r="H30" s="8"/>
      <c r="I30" s="8"/>
      <c r="J30" s="10"/>
    </row>
    <row r="31" spans="2:11" x14ac:dyDescent="0.3">
      <c r="C31" s="8"/>
      <c r="D31" s="8"/>
      <c r="E31" s="10"/>
      <c r="F31" s="10"/>
      <c r="H31" s="8"/>
      <c r="I31" s="8"/>
      <c r="J31" s="10"/>
    </row>
    <row r="32" spans="2:11" x14ac:dyDescent="0.3">
      <c r="C32" s="8"/>
      <c r="D32" s="8"/>
      <c r="E32" s="10"/>
      <c r="F32" s="10"/>
      <c r="H32" s="8"/>
      <c r="I32" s="8"/>
      <c r="J32" s="10"/>
    </row>
    <row r="33" spans="3:10" x14ac:dyDescent="0.3">
      <c r="C33" s="8"/>
      <c r="D33" s="8"/>
      <c r="E33" s="10"/>
      <c r="F33" s="10"/>
      <c r="H33" s="8"/>
      <c r="I33" s="8"/>
      <c r="J33" s="10"/>
    </row>
    <row r="34" spans="3:10" x14ac:dyDescent="0.3">
      <c r="C34" s="8"/>
      <c r="D34" s="8"/>
      <c r="E34" s="10"/>
      <c r="F34" s="10"/>
      <c r="H34" s="8"/>
      <c r="I34" s="8"/>
      <c r="J34" s="10"/>
    </row>
    <row r="35" spans="3:10" x14ac:dyDescent="0.3">
      <c r="C35" s="8"/>
      <c r="D35" s="8"/>
      <c r="E35" s="10"/>
      <c r="F35" s="10"/>
      <c r="H35" s="8"/>
      <c r="I35" s="8"/>
      <c r="J35" s="10"/>
    </row>
    <row r="36" spans="3:10" x14ac:dyDescent="0.3">
      <c r="C36" s="8"/>
      <c r="D36" s="8"/>
      <c r="E36" s="10"/>
      <c r="F36" s="10"/>
      <c r="H36" s="8"/>
      <c r="I36" s="8"/>
      <c r="J36" s="10"/>
    </row>
    <row r="37" spans="3:10" x14ac:dyDescent="0.3">
      <c r="C37" s="8"/>
      <c r="D37" s="8"/>
      <c r="E37" s="10"/>
      <c r="F37" s="10"/>
      <c r="H37" s="8"/>
      <c r="I37" s="8"/>
      <c r="J37" s="10"/>
    </row>
    <row r="38" spans="3:10" x14ac:dyDescent="0.3">
      <c r="C38" s="8"/>
      <c r="D38" s="8"/>
      <c r="E38" s="10"/>
      <c r="F38" s="10"/>
      <c r="H38" s="8"/>
      <c r="I38" s="8"/>
      <c r="J38" s="10"/>
    </row>
    <row r="39" spans="3:10" x14ac:dyDescent="0.3">
      <c r="C39" s="8"/>
      <c r="D39" s="8"/>
      <c r="E39" s="10"/>
      <c r="F39" s="10"/>
      <c r="H39" s="8"/>
      <c r="I39" s="8"/>
      <c r="J39" s="10"/>
    </row>
    <row r="40" spans="3:10" x14ac:dyDescent="0.3">
      <c r="C40" s="8"/>
      <c r="D40" s="8"/>
      <c r="E40" s="10"/>
      <c r="F40" s="10"/>
      <c r="H40" s="8"/>
      <c r="I40" s="8"/>
      <c r="J40" s="10"/>
    </row>
    <row r="41" spans="3:10" x14ac:dyDescent="0.3">
      <c r="C41" s="8"/>
      <c r="D41" s="8"/>
      <c r="E41" s="10"/>
      <c r="F41" s="10"/>
      <c r="H41" s="8"/>
      <c r="I41" s="8"/>
      <c r="J41" s="10"/>
    </row>
    <row r="42" spans="3:10" x14ac:dyDescent="0.3">
      <c r="C42" s="8"/>
      <c r="D42" s="8"/>
      <c r="E42" s="10"/>
      <c r="F42" s="10"/>
      <c r="H42" s="8"/>
      <c r="I42" s="8"/>
      <c r="J42" s="10"/>
    </row>
    <row r="43" spans="3:10" x14ac:dyDescent="0.3">
      <c r="C43" s="8"/>
      <c r="D43" s="8"/>
      <c r="E43" s="10"/>
      <c r="F43" s="10"/>
      <c r="H43" s="8"/>
      <c r="I43" s="8"/>
      <c r="J43" s="10"/>
    </row>
    <row r="44" spans="3:10" x14ac:dyDescent="0.3">
      <c r="C44" s="8"/>
      <c r="D44" s="8"/>
      <c r="E44" s="10"/>
      <c r="F44" s="10"/>
      <c r="H44" s="8"/>
      <c r="I44" s="8"/>
      <c r="J44" s="10"/>
    </row>
    <row r="45" spans="3:10" x14ac:dyDescent="0.3">
      <c r="C45" s="8"/>
      <c r="D45" s="8"/>
      <c r="E45" s="10"/>
      <c r="F45" s="10"/>
      <c r="H45" s="8"/>
      <c r="I45" s="8"/>
      <c r="J45" s="10"/>
    </row>
    <row r="46" spans="3:10" x14ac:dyDescent="0.3">
      <c r="C46" s="8"/>
      <c r="D46" s="8"/>
      <c r="E46" s="10"/>
      <c r="F46" s="10"/>
      <c r="H46" s="8"/>
      <c r="I46" s="8"/>
      <c r="J46" s="10"/>
    </row>
    <row r="47" spans="3:10" x14ac:dyDescent="0.3">
      <c r="C47" s="8"/>
      <c r="D47" s="8"/>
      <c r="E47" s="10"/>
      <c r="F47" s="10"/>
      <c r="H47" s="8"/>
      <c r="I47" s="8"/>
      <c r="J47" s="10"/>
    </row>
    <row r="48" spans="3:10" x14ac:dyDescent="0.3">
      <c r="C48" s="8"/>
      <c r="D48" s="8"/>
      <c r="E48" s="10"/>
      <c r="F48" s="10"/>
      <c r="H48" s="8"/>
      <c r="I48" s="8"/>
      <c r="J48" s="10"/>
    </row>
    <row r="49" spans="3:10" x14ac:dyDescent="0.3">
      <c r="C49" s="8"/>
      <c r="D49" s="8"/>
      <c r="E49" s="10"/>
      <c r="F49" s="10"/>
      <c r="H49" s="8"/>
      <c r="I49" s="8"/>
      <c r="J49" s="10"/>
    </row>
    <row r="50" spans="3:10" x14ac:dyDescent="0.3">
      <c r="C50" s="8"/>
      <c r="D50" s="8"/>
      <c r="E50" s="10"/>
      <c r="F50" s="10"/>
      <c r="H50" s="8"/>
      <c r="I50" s="8"/>
      <c r="J50" s="10"/>
    </row>
    <row r="51" spans="3:10" x14ac:dyDescent="0.3">
      <c r="C51" s="8"/>
      <c r="D51" s="8"/>
      <c r="E51" s="10"/>
      <c r="F51" s="10"/>
      <c r="H51" s="8"/>
      <c r="I51" s="8"/>
      <c r="J51" s="10"/>
    </row>
    <row r="52" spans="3:10" x14ac:dyDescent="0.3">
      <c r="C52" s="8"/>
      <c r="D52" s="8"/>
      <c r="E52" s="10"/>
      <c r="F52" s="10"/>
      <c r="H52" s="8"/>
      <c r="I52" s="8"/>
      <c r="J52" s="10"/>
    </row>
    <row r="53" spans="3:10" x14ac:dyDescent="0.3">
      <c r="C53" s="8"/>
      <c r="D53" s="8"/>
      <c r="E53" s="10"/>
      <c r="F53" s="10"/>
      <c r="H53" s="8"/>
      <c r="I53" s="8"/>
      <c r="J53" s="10"/>
    </row>
    <row r="54" spans="3:10" x14ac:dyDescent="0.3">
      <c r="C54" s="8"/>
      <c r="D54" s="8"/>
      <c r="E54" s="10"/>
      <c r="F54" s="10"/>
      <c r="H54" s="8"/>
      <c r="I54" s="8"/>
      <c r="J54" s="10"/>
    </row>
    <row r="55" spans="3:10" x14ac:dyDescent="0.3">
      <c r="C55" s="8"/>
      <c r="D55" s="8"/>
      <c r="E55" s="10"/>
      <c r="F55" s="10"/>
      <c r="H55" s="8"/>
      <c r="I55" s="8"/>
      <c r="J55" s="10"/>
    </row>
    <row r="56" spans="3:10" x14ac:dyDescent="0.3">
      <c r="C56" s="8"/>
      <c r="D56" s="8"/>
      <c r="E56" s="10"/>
      <c r="F56" s="10"/>
      <c r="H56" s="8"/>
      <c r="I56" s="8"/>
      <c r="J56" s="10"/>
    </row>
    <row r="57" spans="3:10" x14ac:dyDescent="0.3">
      <c r="C57" s="8"/>
      <c r="D57" s="8"/>
      <c r="E57" s="10"/>
      <c r="F57" s="10"/>
      <c r="H57" s="8"/>
      <c r="I57" s="8"/>
      <c r="J57" s="10"/>
    </row>
    <row r="58" spans="3:10" x14ac:dyDescent="0.3">
      <c r="C58" s="8"/>
      <c r="D58" s="8"/>
      <c r="E58" s="10"/>
      <c r="F58" s="10"/>
      <c r="H58" s="8"/>
      <c r="I58" s="8"/>
      <c r="J58" s="10"/>
    </row>
    <row r="59" spans="3:10" x14ac:dyDescent="0.3">
      <c r="C59" s="8"/>
      <c r="D59" s="8"/>
      <c r="E59" s="10"/>
      <c r="F59" s="10"/>
      <c r="H59" s="8"/>
      <c r="I59" s="8"/>
      <c r="J59" s="10"/>
    </row>
    <row r="60" spans="3:10" x14ac:dyDescent="0.3">
      <c r="C60" s="8"/>
      <c r="D60" s="8"/>
      <c r="E60" s="10"/>
      <c r="F60" s="10"/>
      <c r="H60" s="8"/>
      <c r="I60" s="8"/>
      <c r="J60" s="10"/>
    </row>
    <row r="61" spans="3:10" x14ac:dyDescent="0.3">
      <c r="C61" s="8"/>
      <c r="D61" s="8"/>
      <c r="E61" s="10"/>
      <c r="F61" s="10"/>
      <c r="H61" s="8"/>
      <c r="I61" s="8"/>
      <c r="J61" s="10"/>
    </row>
    <row r="62" spans="3:10" x14ac:dyDescent="0.3">
      <c r="C62" s="8"/>
      <c r="D62" s="8"/>
      <c r="E62" s="10"/>
      <c r="F62" s="10"/>
      <c r="H62" s="8"/>
      <c r="I62" s="8"/>
      <c r="J62" s="10"/>
    </row>
    <row r="63" spans="3:10" x14ac:dyDescent="0.3">
      <c r="C63" s="8"/>
      <c r="D63" s="8"/>
      <c r="E63" s="10"/>
      <c r="F63" s="10"/>
      <c r="H63" s="8"/>
      <c r="I63" s="8"/>
      <c r="J63" s="10"/>
    </row>
    <row r="64" spans="3:10" x14ac:dyDescent="0.3">
      <c r="C64" s="8"/>
      <c r="D64" s="8"/>
      <c r="E64" s="10"/>
      <c r="F64" s="10"/>
      <c r="H64" s="8"/>
      <c r="I64" s="8"/>
      <c r="J64" s="10"/>
    </row>
    <row r="65" spans="3:10" x14ac:dyDescent="0.3">
      <c r="C65" s="8"/>
      <c r="D65" s="8"/>
      <c r="E65" s="10"/>
      <c r="F65" s="10"/>
      <c r="H65" s="8"/>
      <c r="I65" s="8"/>
      <c r="J65" s="10"/>
    </row>
    <row r="66" spans="3:10" x14ac:dyDescent="0.3">
      <c r="C66" s="8"/>
      <c r="D66" s="8"/>
      <c r="E66" s="10"/>
      <c r="F66" s="10"/>
      <c r="H66" s="8"/>
      <c r="I66" s="8"/>
      <c r="J66" s="10"/>
    </row>
    <row r="67" spans="3:10" x14ac:dyDescent="0.3">
      <c r="C67" s="8"/>
      <c r="D67" s="8"/>
      <c r="E67" s="10"/>
      <c r="F67" s="10"/>
      <c r="H67" s="8"/>
      <c r="I67" s="8"/>
      <c r="J67" s="10"/>
    </row>
    <row r="68" spans="3:10" x14ac:dyDescent="0.3">
      <c r="C68" s="8"/>
      <c r="D68" s="8"/>
      <c r="E68" s="10"/>
      <c r="F68" s="10"/>
      <c r="H68" s="8"/>
      <c r="I68" s="8"/>
      <c r="J68" s="10"/>
    </row>
    <row r="69" spans="3:10" x14ac:dyDescent="0.3">
      <c r="C69" s="8"/>
      <c r="D69" s="8"/>
      <c r="E69" s="10"/>
      <c r="F69" s="10"/>
      <c r="H69" s="8"/>
      <c r="I69" s="8"/>
      <c r="J69" s="10"/>
    </row>
    <row r="70" spans="3:10" x14ac:dyDescent="0.3">
      <c r="C70" s="8"/>
      <c r="D70" s="8"/>
      <c r="E70" s="10"/>
      <c r="F70" s="10"/>
      <c r="H70" s="8"/>
      <c r="I70" s="8"/>
      <c r="J70" s="10"/>
    </row>
  </sheetData>
  <mergeCells count="2">
    <mergeCell ref="C1:E1"/>
    <mergeCell ref="H1:J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68"/>
  <sheetViews>
    <sheetView workbookViewId="0">
      <selection activeCell="H21" sqref="H21"/>
    </sheetView>
  </sheetViews>
  <sheetFormatPr baseColWidth="10" defaultRowHeight="14.4" x14ac:dyDescent="0.3"/>
  <cols>
    <col min="1" max="1" width="6.109375" bestFit="1" customWidth="1"/>
    <col min="7" max="7" width="13.5546875" bestFit="1" customWidth="1"/>
    <col min="8" max="8" width="12" customWidth="1"/>
  </cols>
  <sheetData>
    <row r="1" spans="1:7" ht="15.6" thickBot="1" x14ac:dyDescent="0.4">
      <c r="B1" s="33"/>
      <c r="C1" s="34"/>
      <c r="D1" s="34"/>
      <c r="E1" s="34"/>
      <c r="F1" s="35" t="s">
        <v>73</v>
      </c>
    </row>
    <row r="2" spans="1:7" ht="75" x14ac:dyDescent="0.3">
      <c r="B2" s="48" t="s">
        <v>74</v>
      </c>
      <c r="C2" s="36" t="s">
        <v>75</v>
      </c>
      <c r="D2" s="36" t="s">
        <v>76</v>
      </c>
      <c r="E2" s="36" t="s">
        <v>77</v>
      </c>
      <c r="F2" s="36" t="s">
        <v>78</v>
      </c>
    </row>
    <row r="3" spans="1:7" ht="15" x14ac:dyDescent="0.35">
      <c r="A3" s="185"/>
      <c r="B3" s="49">
        <v>2011</v>
      </c>
      <c r="C3" s="56">
        <f>+C28/1000000</f>
        <v>56.914939110339127</v>
      </c>
      <c r="D3" s="56">
        <f t="shared" ref="D3:E3" si="0">+D28/1000000</f>
        <v>3.2404299236511229</v>
      </c>
      <c r="E3" s="56">
        <f t="shared" si="0"/>
        <v>57.760294976281102</v>
      </c>
      <c r="F3" s="38"/>
    </row>
    <row r="4" spans="1:7" ht="15" x14ac:dyDescent="0.35">
      <c r="A4" s="185"/>
      <c r="B4" s="50">
        <v>2012</v>
      </c>
      <c r="C4" s="56">
        <f t="shared" ref="C4:E4" si="1">+C29/1000000</f>
        <v>60.125165917929664</v>
      </c>
      <c r="D4" s="56">
        <f t="shared" si="1"/>
        <v>3.3192027348850122</v>
      </c>
      <c r="E4" s="56">
        <f t="shared" si="1"/>
        <v>61.059725880435046</v>
      </c>
      <c r="F4" s="40">
        <v>21.184868255272313</v>
      </c>
    </row>
    <row r="5" spans="1:7" ht="15" x14ac:dyDescent="0.35">
      <c r="A5" s="185"/>
      <c r="B5" s="49">
        <v>2013</v>
      </c>
      <c r="C5" s="56">
        <f t="shared" ref="C5:E5" si="2">+C30/1000000</f>
        <v>58.826371008579912</v>
      </c>
      <c r="D5" s="56">
        <f t="shared" si="2"/>
        <v>3.3936041801491497</v>
      </c>
      <c r="E5" s="56">
        <f t="shared" si="2"/>
        <v>60.133178274502569</v>
      </c>
      <c r="F5" s="38">
        <v>43.223140290234916</v>
      </c>
    </row>
    <row r="6" spans="1:7" ht="15" x14ac:dyDescent="0.35">
      <c r="A6" s="185"/>
      <c r="B6" s="50">
        <v>2014</v>
      </c>
      <c r="C6" s="56">
        <f t="shared" ref="C6:E6" si="3">+C31/1000000</f>
        <v>54.856754566609929</v>
      </c>
      <c r="D6" s="56">
        <f t="shared" si="3"/>
        <v>2.085059513972443</v>
      </c>
      <c r="E6" s="56">
        <f t="shared" si="3"/>
        <v>56.300143796182397</v>
      </c>
      <c r="F6" s="40">
        <v>5.7111258232794979</v>
      </c>
      <c r="G6" s="136">
        <f>E6-C6</f>
        <v>1.4433892295724675</v>
      </c>
    </row>
    <row r="7" spans="1:7" ht="3.75" customHeight="1" x14ac:dyDescent="0.35">
      <c r="A7" s="185"/>
      <c r="B7" s="50"/>
      <c r="C7" s="56"/>
      <c r="D7" s="56"/>
      <c r="E7" s="56"/>
      <c r="F7" s="40"/>
      <c r="G7" s="136">
        <f t="shared" ref="G7:G20" si="4">E7-C7</f>
        <v>0</v>
      </c>
    </row>
    <row r="8" spans="1:7" ht="15" x14ac:dyDescent="0.35">
      <c r="A8" s="185"/>
      <c r="B8" s="49">
        <v>2015</v>
      </c>
      <c r="C8" s="56">
        <f t="shared" ref="C8:E8" si="5">+C32/1000000</f>
        <v>36.017521665430365</v>
      </c>
      <c r="D8" s="56">
        <f t="shared" si="5"/>
        <v>2.1088042284393689</v>
      </c>
      <c r="E8" s="56">
        <f t="shared" si="5"/>
        <v>37.796527895219363</v>
      </c>
      <c r="F8" s="38">
        <v>-1.515962923544403</v>
      </c>
      <c r="G8" s="136">
        <f t="shared" si="4"/>
        <v>1.7790062297889975</v>
      </c>
    </row>
    <row r="9" spans="1:7" ht="5.25" customHeight="1" x14ac:dyDescent="0.35">
      <c r="A9" s="185"/>
      <c r="B9" s="49"/>
      <c r="C9" s="56"/>
      <c r="D9" s="56"/>
      <c r="E9" s="56"/>
      <c r="F9" s="38"/>
      <c r="G9" s="136">
        <f t="shared" si="4"/>
        <v>0</v>
      </c>
    </row>
    <row r="10" spans="1:7" ht="15" x14ac:dyDescent="0.35">
      <c r="A10" s="185"/>
      <c r="B10" s="50">
        <v>2016</v>
      </c>
      <c r="C10" s="56">
        <f t="shared" ref="C10:E10" si="6">+C33/1000000</f>
        <v>31.768340981280129</v>
      </c>
      <c r="D10" s="56">
        <f t="shared" si="6"/>
        <v>3.0931468000368003</v>
      </c>
      <c r="E10" s="56">
        <f t="shared" si="6"/>
        <v>33.172310532486783</v>
      </c>
      <c r="F10" s="40">
        <v>-6.3740023508648145</v>
      </c>
      <c r="G10" s="136">
        <f t="shared" si="4"/>
        <v>1.4039695512066537</v>
      </c>
    </row>
    <row r="11" spans="1:7" ht="0.75" customHeight="1" x14ac:dyDescent="0.35">
      <c r="A11" s="185"/>
      <c r="B11" s="50"/>
      <c r="C11" s="56"/>
      <c r="D11" s="56"/>
      <c r="E11" s="56"/>
      <c r="F11" s="40"/>
      <c r="G11" s="136">
        <f t="shared" si="4"/>
        <v>0</v>
      </c>
    </row>
    <row r="12" spans="1:7" ht="15" x14ac:dyDescent="0.35">
      <c r="A12" s="185"/>
      <c r="B12" s="49">
        <v>2017</v>
      </c>
      <c r="C12" s="56">
        <f t="shared" ref="C12:E12" si="7">+C34/1000000</f>
        <v>38.021860310389755</v>
      </c>
      <c r="D12" s="56">
        <f t="shared" si="7"/>
        <v>2.2526751101327727</v>
      </c>
      <c r="E12" s="56">
        <f t="shared" si="7"/>
        <v>38.653497317882675</v>
      </c>
      <c r="F12" s="38">
        <v>-32.865982948539447</v>
      </c>
      <c r="G12" s="136">
        <f t="shared" si="4"/>
        <v>0.63163700749291962</v>
      </c>
    </row>
    <row r="13" spans="1:7" ht="3" customHeight="1" x14ac:dyDescent="0.35">
      <c r="A13" s="185"/>
      <c r="B13" s="49"/>
      <c r="C13" s="56"/>
      <c r="D13" s="56"/>
      <c r="E13" s="56"/>
      <c r="F13" s="38"/>
      <c r="G13" s="136">
        <f t="shared" si="4"/>
        <v>0</v>
      </c>
    </row>
    <row r="14" spans="1:7" ht="15" x14ac:dyDescent="0.35">
      <c r="A14" s="185"/>
      <c r="B14" s="50">
        <v>2018</v>
      </c>
      <c r="C14" s="56">
        <f t="shared" ref="C14:E14" si="8">+C35/1000000</f>
        <v>41.904777398160896</v>
      </c>
      <c r="D14" s="56">
        <f t="shared" si="8"/>
        <v>2.8023223897126197</v>
      </c>
      <c r="E14" s="56">
        <f t="shared" si="8"/>
        <v>42.656016887662624</v>
      </c>
      <c r="F14" s="40">
        <v>-12.234503062165277</v>
      </c>
      <c r="G14" s="136">
        <f t="shared" si="4"/>
        <v>0.75123948950172803</v>
      </c>
    </row>
    <row r="15" spans="1:7" ht="3.75" customHeight="1" x14ac:dyDescent="0.35">
      <c r="A15" s="185"/>
      <c r="B15" s="50"/>
      <c r="C15" s="56"/>
      <c r="D15" s="56"/>
      <c r="E15" s="56"/>
      <c r="F15" s="40"/>
      <c r="G15" s="136">
        <f t="shared" si="4"/>
        <v>0</v>
      </c>
    </row>
    <row r="16" spans="1:7" ht="15" x14ac:dyDescent="0.35">
      <c r="A16" s="185"/>
      <c r="B16" s="51">
        <v>2019</v>
      </c>
      <c r="C16" s="56">
        <f t="shared" ref="C16:E16" si="9">+C36/1000000</f>
        <v>39.489167864799988</v>
      </c>
      <c r="D16" s="56">
        <f t="shared" si="9"/>
        <v>3.0113727188711525</v>
      </c>
      <c r="E16" s="56">
        <f t="shared" si="9"/>
        <v>40.271456113661138</v>
      </c>
      <c r="F16" s="42">
        <v>16.523379581978954</v>
      </c>
      <c r="G16" s="136">
        <f t="shared" si="4"/>
        <v>0.78228824886114978</v>
      </c>
    </row>
    <row r="17" spans="1:9" ht="3.75" customHeight="1" x14ac:dyDescent="0.35">
      <c r="A17" s="185"/>
      <c r="B17" s="51"/>
      <c r="C17" s="56"/>
      <c r="D17" s="56"/>
      <c r="E17" s="56"/>
      <c r="F17" s="42"/>
      <c r="G17" s="136">
        <f t="shared" si="4"/>
        <v>0</v>
      </c>
    </row>
    <row r="18" spans="1:9" ht="15" x14ac:dyDescent="0.35">
      <c r="A18" s="185"/>
      <c r="B18" s="52">
        <v>2020</v>
      </c>
      <c r="C18" s="56">
        <f t="shared" ref="C18:E18" si="10">+C37/1000000</f>
        <v>31.055810659689989</v>
      </c>
      <c r="D18" s="56">
        <f t="shared" si="10"/>
        <v>2.4268812222950884</v>
      </c>
      <c r="E18" s="56">
        <f t="shared" si="10"/>
        <v>31.747235498225074</v>
      </c>
      <c r="F18" s="44">
        <v>10.35477307107546</v>
      </c>
      <c r="G18" s="136">
        <f t="shared" si="4"/>
        <v>0.69142483853508452</v>
      </c>
    </row>
    <row r="19" spans="1:9" ht="1.5" customHeight="1" x14ac:dyDescent="0.35">
      <c r="A19" s="185"/>
      <c r="B19" s="52"/>
      <c r="C19" s="56"/>
      <c r="D19" s="56"/>
      <c r="E19" s="56"/>
      <c r="F19" s="44"/>
      <c r="G19" s="136">
        <f t="shared" si="4"/>
        <v>0</v>
      </c>
    </row>
    <row r="20" spans="1:9" ht="15" x14ac:dyDescent="0.35">
      <c r="A20" s="185"/>
      <c r="B20" s="53">
        <v>2021</v>
      </c>
      <c r="C20" s="57">
        <f t="shared" ref="C20:E20" si="11">+C38/1000000</f>
        <v>41.387266172649987</v>
      </c>
      <c r="D20" s="57">
        <f t="shared" si="11"/>
        <v>2.7776579903558543</v>
      </c>
      <c r="E20" s="57">
        <f t="shared" si="11"/>
        <v>42.304993422455844</v>
      </c>
      <c r="F20" s="46">
        <v>-5.5735809145159001</v>
      </c>
      <c r="G20" s="136">
        <f t="shared" si="4"/>
        <v>0.91772724980585707</v>
      </c>
    </row>
    <row r="21" spans="1:9" ht="15" x14ac:dyDescent="0.35">
      <c r="B21" s="65"/>
      <c r="F21" s="67"/>
      <c r="G21" s="66">
        <f>+((C20/C6)^(1/9))-1</f>
        <v>-3.08208334611485E-2</v>
      </c>
      <c r="H21" s="66">
        <f t="shared" ref="H21" si="12">+((D20/D6)^(1/9))-1</f>
        <v>3.2381075668233894E-2</v>
      </c>
      <c r="I21" s="66">
        <f>+((E20/E6)^(1/9))-1</f>
        <v>-3.1255777771390658E-2</v>
      </c>
    </row>
    <row r="22" spans="1:9" ht="15" x14ac:dyDescent="0.35">
      <c r="A22" s="211" t="s">
        <v>145</v>
      </c>
      <c r="B22" s="54">
        <v>2021</v>
      </c>
      <c r="C22" s="62">
        <f>+C40/1000000</f>
        <v>5.54993053915</v>
      </c>
      <c r="D22" s="62">
        <f>+D40/1000000</f>
        <v>0.41543047584757437</v>
      </c>
      <c r="E22" s="62">
        <f>+E40/1000000</f>
        <v>5.6870690571675748</v>
      </c>
      <c r="F22" s="61"/>
    </row>
    <row r="23" spans="1:9" ht="7.5" customHeight="1" x14ac:dyDescent="0.35">
      <c r="A23" s="211"/>
      <c r="B23" s="51"/>
      <c r="C23" s="58"/>
      <c r="D23" s="58"/>
      <c r="E23" s="58"/>
      <c r="F23" s="44"/>
    </row>
    <row r="24" spans="1:9" ht="15" x14ac:dyDescent="0.35">
      <c r="A24" s="211"/>
      <c r="B24" s="53">
        <v>2022</v>
      </c>
      <c r="C24" s="59">
        <f>+C41/1000000</f>
        <v>8.0039380769499999</v>
      </c>
      <c r="D24" s="59">
        <f t="shared" ref="D24:E24" si="13">+D41/1000000</f>
        <v>0.29155542494411096</v>
      </c>
      <c r="E24" s="59">
        <f t="shared" si="13"/>
        <v>8.1657127361341111</v>
      </c>
      <c r="F24" s="47">
        <f>+(C24/C22-1)*100</f>
        <v>44.216905427718075</v>
      </c>
      <c r="G24" s="47">
        <f>+(E24/E22-1)*100</f>
        <v>43.583850557303009</v>
      </c>
    </row>
    <row r="26" spans="1:9" ht="15.6" thickBot="1" x14ac:dyDescent="0.4">
      <c r="B26" s="33"/>
      <c r="C26" s="34"/>
      <c r="D26" s="34"/>
      <c r="E26" s="34"/>
      <c r="F26" s="35" t="s">
        <v>73</v>
      </c>
    </row>
    <row r="27" spans="1:9" ht="75" x14ac:dyDescent="0.3">
      <c r="B27" s="48" t="s">
        <v>74</v>
      </c>
      <c r="C27" s="36" t="s">
        <v>75</v>
      </c>
      <c r="D27" s="36" t="s">
        <v>76</v>
      </c>
      <c r="E27" s="36" t="s">
        <v>77</v>
      </c>
      <c r="F27" s="36" t="s">
        <v>78</v>
      </c>
    </row>
    <row r="28" spans="1:9" ht="15" x14ac:dyDescent="0.35">
      <c r="A28" s="211"/>
      <c r="B28" s="49">
        <v>2011</v>
      </c>
      <c r="C28" s="37">
        <v>56914939.110339127</v>
      </c>
      <c r="D28" s="37">
        <v>3240429.923651123</v>
      </c>
      <c r="E28" s="37">
        <v>57760294.976281099</v>
      </c>
      <c r="F28" s="38">
        <v>21.184868255269976</v>
      </c>
    </row>
    <row r="29" spans="1:9" ht="15" x14ac:dyDescent="0.35">
      <c r="A29" s="211"/>
      <c r="B29" s="50">
        <v>2012</v>
      </c>
      <c r="C29" s="39">
        <v>60125165.917929664</v>
      </c>
      <c r="D29" s="39">
        <v>3319202.7348850123</v>
      </c>
      <c r="E29" s="39">
        <v>61059725.88043505</v>
      </c>
      <c r="F29" s="40">
        <v>43.224172665432903</v>
      </c>
    </row>
    <row r="30" spans="1:9" ht="15" x14ac:dyDescent="0.35">
      <c r="A30" s="211"/>
      <c r="B30" s="49">
        <v>2013</v>
      </c>
      <c r="C30" s="37">
        <v>58826371.00857991</v>
      </c>
      <c r="D30" s="37">
        <v>3393604.1801491496</v>
      </c>
      <c r="E30" s="37">
        <v>60133178.274502568</v>
      </c>
      <c r="F30" s="38">
        <v>5.7122819499257078</v>
      </c>
      <c r="G30" s="63">
        <f>+E30-C30</f>
        <v>1306807.2659226581</v>
      </c>
    </row>
    <row r="31" spans="1:9" ht="15" x14ac:dyDescent="0.35">
      <c r="A31" s="211"/>
      <c r="B31" s="50">
        <v>2014</v>
      </c>
      <c r="C31" s="39">
        <v>54856754.566609927</v>
      </c>
      <c r="D31" s="39">
        <v>2085059.5139724428</v>
      </c>
      <c r="E31" s="39">
        <v>56300143.796182394</v>
      </c>
      <c r="F31" s="40">
        <v>-1.5174447519578023</v>
      </c>
      <c r="G31" s="63">
        <f>+E31-C31</f>
        <v>1443389.2295724675</v>
      </c>
    </row>
    <row r="32" spans="1:9" ht="15" x14ac:dyDescent="0.35">
      <c r="A32" s="211"/>
      <c r="B32" s="49">
        <v>2015</v>
      </c>
      <c r="C32" s="37">
        <v>36017521.665430367</v>
      </c>
      <c r="D32" s="37">
        <v>2108804.2284393688</v>
      </c>
      <c r="E32" s="37">
        <v>37796527.895219363</v>
      </c>
      <c r="F32" s="38">
        <v>-6.3742422873820423</v>
      </c>
      <c r="G32" s="63">
        <f t="shared" ref="G32:G38" si="14">+E32-C32</f>
        <v>1779006.2297889963</v>
      </c>
    </row>
    <row r="33" spans="1:8" ht="15" x14ac:dyDescent="0.35">
      <c r="A33" s="211"/>
      <c r="B33" s="50">
        <v>2016</v>
      </c>
      <c r="C33" s="39">
        <v>31768340.981280129</v>
      </c>
      <c r="D33" s="39">
        <v>3093146.8000368001</v>
      </c>
      <c r="E33" s="39">
        <v>33172310.532486785</v>
      </c>
      <c r="F33" s="40">
        <v>-32.866018900324242</v>
      </c>
      <c r="G33" s="63">
        <f t="shared" si="14"/>
        <v>1403969.5512066558</v>
      </c>
    </row>
    <row r="34" spans="1:8" ht="15" x14ac:dyDescent="0.35">
      <c r="A34" s="211"/>
      <c r="B34" s="49">
        <v>2017</v>
      </c>
      <c r="C34" s="37">
        <v>38021860.310389757</v>
      </c>
      <c r="D34" s="37">
        <v>2252675.1101327725</v>
      </c>
      <c r="E34" s="37">
        <v>38653497.317882672</v>
      </c>
      <c r="F34" s="38">
        <v>-12.23450306216478</v>
      </c>
      <c r="G34" s="63">
        <f t="shared" si="14"/>
        <v>631637.0074929148</v>
      </c>
    </row>
    <row r="35" spans="1:8" ht="15" x14ac:dyDescent="0.35">
      <c r="A35" s="211"/>
      <c r="B35" s="50">
        <v>2018</v>
      </c>
      <c r="C35" s="39">
        <v>41904777.398160897</v>
      </c>
      <c r="D35" s="39">
        <v>2802322.3897126196</v>
      </c>
      <c r="E35" s="39">
        <v>42656016.887662627</v>
      </c>
      <c r="F35" s="40">
        <v>16.523379581979892</v>
      </c>
      <c r="G35" s="63">
        <f t="shared" si="14"/>
        <v>751239.48950172961</v>
      </c>
    </row>
    <row r="36" spans="1:8" ht="15" x14ac:dyDescent="0.35">
      <c r="A36" s="211"/>
      <c r="B36" s="51">
        <v>2019</v>
      </c>
      <c r="C36" s="41">
        <v>39489167.864799991</v>
      </c>
      <c r="D36" s="41">
        <v>3011372.7188711525</v>
      </c>
      <c r="E36" s="41">
        <v>40271456.11366114</v>
      </c>
      <c r="F36" s="42">
        <v>10.354870445133635</v>
      </c>
      <c r="G36" s="63">
        <f t="shared" si="14"/>
        <v>782288.24886114895</v>
      </c>
    </row>
    <row r="37" spans="1:8" ht="15" x14ac:dyDescent="0.35">
      <c r="A37" s="211"/>
      <c r="B37" s="52" t="s">
        <v>103</v>
      </c>
      <c r="C37" s="43">
        <v>31055810.659689989</v>
      </c>
      <c r="D37" s="43">
        <v>2426881.2222950882</v>
      </c>
      <c r="E37" s="43">
        <v>31747235.498225074</v>
      </c>
      <c r="F37" s="44">
        <v>-5.5902096538487882</v>
      </c>
      <c r="G37" s="63">
        <f t="shared" si="14"/>
        <v>691424.83853508532</v>
      </c>
    </row>
    <row r="38" spans="1:8" ht="15" x14ac:dyDescent="0.35">
      <c r="A38" s="211"/>
      <c r="B38" s="53">
        <v>2021</v>
      </c>
      <c r="C38" s="45">
        <v>41387266.172649987</v>
      </c>
      <c r="D38" s="45">
        <v>2777657.9903558544</v>
      </c>
      <c r="E38" s="45">
        <v>42304993.422455847</v>
      </c>
      <c r="F38" s="46">
        <v>-21.166904398434269</v>
      </c>
      <c r="G38" s="63">
        <f t="shared" si="14"/>
        <v>917727.24980586022</v>
      </c>
    </row>
    <row r="39" spans="1:8" ht="15" x14ac:dyDescent="0.35">
      <c r="A39" s="55"/>
      <c r="B39" s="51"/>
      <c r="C39" s="41"/>
      <c r="D39" s="41"/>
      <c r="E39" s="41"/>
      <c r="F39" s="42"/>
      <c r="G39" s="63">
        <f>+AVERAGE(G31:G38)*1000</f>
        <v>1050085230.5956073</v>
      </c>
      <c r="H39" s="8">
        <f>+G39/1000000</f>
        <v>1050.0852305956073</v>
      </c>
    </row>
    <row r="40" spans="1:8" ht="15" x14ac:dyDescent="0.35">
      <c r="A40" s="211" t="s">
        <v>95</v>
      </c>
      <c r="B40" s="54">
        <v>2021</v>
      </c>
      <c r="C40" s="60">
        <f>+SUM(C43:C54)</f>
        <v>5549930.5391499996</v>
      </c>
      <c r="D40" s="60">
        <f>+SUM(D43:D54)</f>
        <v>415430.47584757436</v>
      </c>
      <c r="E40" s="60">
        <f>+SUM(E43:E54)</f>
        <v>5687069.0571675748</v>
      </c>
      <c r="F40" s="61"/>
      <c r="G40" s="63">
        <f>E41-C41</f>
        <v>161774.65918411035</v>
      </c>
    </row>
    <row r="41" spans="1:8" ht="15" x14ac:dyDescent="0.35">
      <c r="A41" s="211"/>
      <c r="B41" s="53">
        <v>2022</v>
      </c>
      <c r="C41" s="68">
        <f>SUM(C55:C66)</f>
        <v>8003938.0769500006</v>
      </c>
      <c r="D41" s="68">
        <f t="shared" ref="D41" si="15">SUM(D55:D66)</f>
        <v>291555.42494411097</v>
      </c>
      <c r="E41" s="68">
        <f>SUM(E55:E66)</f>
        <v>8165712.7361341109</v>
      </c>
      <c r="F41" s="47">
        <f>+(C41/C40-1)*100</f>
        <v>44.216905427718103</v>
      </c>
      <c r="G41" s="70">
        <f>E41/E40-1</f>
        <v>0.43583850557303006</v>
      </c>
      <c r="H41" s="8">
        <f>+E41/1000</f>
        <v>8165.7127361341109</v>
      </c>
    </row>
    <row r="43" spans="1:8" ht="15" x14ac:dyDescent="0.35">
      <c r="B43" s="129">
        <v>44197</v>
      </c>
      <c r="C43" s="127">
        <v>2610936.4224299998</v>
      </c>
      <c r="D43" s="127">
        <v>203188.51780033179</v>
      </c>
      <c r="E43" s="127">
        <v>2687944.2548003318</v>
      </c>
      <c r="F43" s="134">
        <v>-23.52141677155079</v>
      </c>
    </row>
    <row r="44" spans="1:8" ht="15" x14ac:dyDescent="0.35">
      <c r="B44" s="126">
        <v>44228</v>
      </c>
      <c r="C44" s="128">
        <v>2938994.1167199998</v>
      </c>
      <c r="D44" s="128">
        <v>212241.95804724257</v>
      </c>
      <c r="E44" s="128">
        <v>2999124.8023672425</v>
      </c>
      <c r="F44" s="135">
        <v>-7.6461778122570365E-2</v>
      </c>
    </row>
    <row r="45" spans="1:8" ht="15" x14ac:dyDescent="0.35">
      <c r="B45" s="129"/>
      <c r="C45" s="127"/>
      <c r="D45" s="127"/>
      <c r="E45" s="127"/>
      <c r="F45" s="134"/>
    </row>
    <row r="46" spans="1:8" ht="15" x14ac:dyDescent="0.35">
      <c r="B46" s="126"/>
      <c r="C46" s="128"/>
      <c r="D46" s="128"/>
      <c r="E46" s="128"/>
      <c r="F46" s="135"/>
    </row>
    <row r="47" spans="1:8" ht="15" x14ac:dyDescent="0.35">
      <c r="B47" s="129"/>
      <c r="C47" s="127"/>
      <c r="D47" s="127"/>
      <c r="E47" s="127"/>
      <c r="F47" s="134"/>
    </row>
    <row r="48" spans="1:8" ht="15" x14ac:dyDescent="0.35">
      <c r="B48" s="126"/>
      <c r="C48" s="128"/>
      <c r="D48" s="128"/>
      <c r="E48" s="128"/>
      <c r="F48" s="135"/>
    </row>
    <row r="49" spans="2:7" ht="15" x14ac:dyDescent="0.35">
      <c r="B49" s="129"/>
      <c r="C49" s="127"/>
      <c r="D49" s="127"/>
      <c r="E49" s="127"/>
      <c r="F49" s="134"/>
      <c r="G49" s="63"/>
    </row>
    <row r="50" spans="2:7" ht="15" x14ac:dyDescent="0.35">
      <c r="B50" s="126"/>
      <c r="C50" s="128"/>
      <c r="D50" s="128"/>
      <c r="E50" s="128"/>
      <c r="F50" s="135"/>
    </row>
    <row r="51" spans="2:7" ht="15" x14ac:dyDescent="0.35">
      <c r="B51" s="129"/>
      <c r="C51" s="127"/>
      <c r="D51" s="127"/>
      <c r="E51" s="127"/>
      <c r="F51" s="134"/>
    </row>
    <row r="52" spans="2:7" ht="15" x14ac:dyDescent="0.35">
      <c r="B52" s="126"/>
      <c r="C52" s="128"/>
      <c r="D52" s="128"/>
      <c r="E52" s="128"/>
      <c r="F52" s="135"/>
    </row>
    <row r="53" spans="2:7" ht="15" x14ac:dyDescent="0.35">
      <c r="B53" s="129"/>
      <c r="C53" s="127"/>
      <c r="D53" s="127"/>
      <c r="E53" s="127"/>
      <c r="F53" s="131"/>
    </row>
    <row r="54" spans="2:7" ht="15" x14ac:dyDescent="0.35">
      <c r="B54" s="126"/>
      <c r="C54" s="128"/>
      <c r="D54" s="128"/>
      <c r="E54" s="128"/>
      <c r="F54" s="133"/>
    </row>
    <row r="55" spans="2:7" ht="15" x14ac:dyDescent="0.35">
      <c r="B55" s="129">
        <v>44562</v>
      </c>
      <c r="C55" s="127">
        <v>3801597.6471799999</v>
      </c>
      <c r="D55" s="127">
        <v>142163.72332934805</v>
      </c>
      <c r="E55" s="127">
        <v>3872089.6187593481</v>
      </c>
      <c r="F55" s="134">
        <v>44.053940547475314</v>
      </c>
    </row>
    <row r="56" spans="2:7" ht="15" x14ac:dyDescent="0.35">
      <c r="B56" s="180">
        <v>44593</v>
      </c>
      <c r="C56" s="181">
        <v>4202340.4297700003</v>
      </c>
      <c r="D56" s="181">
        <v>149391.70161476292</v>
      </c>
      <c r="E56" s="181">
        <v>4293623.1173747629</v>
      </c>
      <c r="F56" s="182">
        <v>43.162535749954749</v>
      </c>
    </row>
    <row r="57" spans="2:7" ht="15" x14ac:dyDescent="0.35">
      <c r="B57" s="129"/>
      <c r="C57" s="127"/>
      <c r="D57" s="127"/>
      <c r="E57" s="127"/>
      <c r="F57" s="131"/>
    </row>
    <row r="58" spans="2:7" ht="15" x14ac:dyDescent="0.35">
      <c r="B58" s="126"/>
      <c r="C58" s="128"/>
      <c r="D58" s="128"/>
      <c r="E58" s="128"/>
      <c r="F58" s="133"/>
    </row>
    <row r="59" spans="2:7" ht="15" x14ac:dyDescent="0.35">
      <c r="B59" s="129"/>
      <c r="C59" s="127"/>
      <c r="D59" s="127"/>
      <c r="E59" s="127"/>
      <c r="F59" s="131"/>
    </row>
    <row r="60" spans="2:7" ht="15" x14ac:dyDescent="0.35">
      <c r="B60" s="126"/>
      <c r="C60" s="128"/>
      <c r="D60" s="128"/>
      <c r="E60" s="128"/>
      <c r="F60" s="133"/>
    </row>
    <row r="61" spans="2:7" ht="15" x14ac:dyDescent="0.35">
      <c r="B61" s="129"/>
      <c r="C61" s="127"/>
      <c r="D61" s="127"/>
      <c r="E61" s="127"/>
      <c r="F61" s="131"/>
    </row>
    <row r="62" spans="2:7" ht="15" x14ac:dyDescent="0.35">
      <c r="B62" s="126"/>
      <c r="C62" s="128"/>
      <c r="D62" s="128"/>
      <c r="E62" s="128"/>
      <c r="F62" s="133"/>
    </row>
    <row r="63" spans="2:7" ht="15" x14ac:dyDescent="0.35">
      <c r="B63" s="129"/>
      <c r="C63" s="127"/>
      <c r="D63" s="127"/>
      <c r="E63" s="127"/>
      <c r="F63" s="131"/>
    </row>
    <row r="64" spans="2:7" ht="15" x14ac:dyDescent="0.35">
      <c r="B64" s="126"/>
      <c r="C64" s="128"/>
      <c r="D64" s="128"/>
      <c r="E64" s="128"/>
      <c r="F64" s="133"/>
    </row>
    <row r="65" spans="2:6" ht="15" x14ac:dyDescent="0.35">
      <c r="B65" s="129"/>
      <c r="C65" s="127"/>
      <c r="D65" s="127"/>
      <c r="E65" s="127"/>
      <c r="F65" s="131"/>
    </row>
    <row r="66" spans="2:6" ht="15" x14ac:dyDescent="0.35">
      <c r="B66" s="180"/>
      <c r="C66" s="181"/>
      <c r="D66" s="181"/>
      <c r="E66" s="181"/>
      <c r="F66" s="182"/>
    </row>
    <row r="67" spans="2:6" ht="15" x14ac:dyDescent="0.35">
      <c r="B67" s="129"/>
      <c r="C67" s="127"/>
      <c r="D67" s="127"/>
      <c r="E67" s="127"/>
      <c r="F67" s="131"/>
    </row>
    <row r="68" spans="2:6" ht="15" x14ac:dyDescent="0.35">
      <c r="B68" s="126"/>
      <c r="C68" s="128"/>
      <c r="D68" s="128"/>
      <c r="E68" s="128"/>
      <c r="F68" s="133"/>
    </row>
  </sheetData>
  <mergeCells count="3">
    <mergeCell ref="A22:A24"/>
    <mergeCell ref="A28:A38"/>
    <mergeCell ref="A40:A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66"/>
  <sheetViews>
    <sheetView tabSelected="1" topLeftCell="A28" workbookViewId="0">
      <selection activeCell="E27" sqref="E27"/>
    </sheetView>
  </sheetViews>
  <sheetFormatPr baseColWidth="10" defaultRowHeight="14.4" x14ac:dyDescent="0.3"/>
  <cols>
    <col min="1" max="1" width="6.109375" bestFit="1" customWidth="1"/>
    <col min="7" max="7" width="13.5546875" bestFit="1" customWidth="1"/>
    <col min="8" max="8" width="12" customWidth="1"/>
  </cols>
  <sheetData>
    <row r="1" spans="1:6" ht="15.6" thickBot="1" x14ac:dyDescent="0.4">
      <c r="B1" s="33"/>
      <c r="C1" s="34"/>
      <c r="D1" s="34"/>
      <c r="E1" s="34"/>
      <c r="F1" s="35" t="s">
        <v>35</v>
      </c>
    </row>
    <row r="2" spans="1:6" ht="75" x14ac:dyDescent="0.3">
      <c r="B2" s="48" t="s">
        <v>74</v>
      </c>
      <c r="C2" s="36" t="s">
        <v>79</v>
      </c>
      <c r="D2" s="36" t="s">
        <v>81</v>
      </c>
      <c r="E2" s="36" t="s">
        <v>80</v>
      </c>
      <c r="F2" s="36" t="s">
        <v>78</v>
      </c>
    </row>
    <row r="3" spans="1:6" ht="15" x14ac:dyDescent="0.35">
      <c r="A3" s="185"/>
      <c r="B3" s="49">
        <v>2011</v>
      </c>
      <c r="C3" s="56">
        <f>+C28/1000000</f>
        <v>54.232569162210005</v>
      </c>
      <c r="D3" s="56">
        <f t="shared" ref="D3:E3" si="0">+D28/1000000</f>
        <v>2.3324848214414104</v>
      </c>
      <c r="E3" s="186">
        <f t="shared" si="0"/>
        <v>56.047268115451416</v>
      </c>
      <c r="F3" s="38"/>
    </row>
    <row r="4" spans="1:6" ht="15" x14ac:dyDescent="0.35">
      <c r="A4" s="185"/>
      <c r="B4" s="50">
        <v>2012</v>
      </c>
      <c r="C4" s="56">
        <f t="shared" ref="C4:E6" si="1">+C29/1000000</f>
        <v>59.047684161589999</v>
      </c>
      <c r="D4" s="56">
        <f t="shared" si="1"/>
        <v>3.1403890547630957</v>
      </c>
      <c r="E4" s="186">
        <f t="shared" si="1"/>
        <v>61.552733309763106</v>
      </c>
      <c r="F4" s="40">
        <v>21.184868255272313</v>
      </c>
    </row>
    <row r="5" spans="1:6" ht="15" x14ac:dyDescent="0.35">
      <c r="A5" s="185"/>
      <c r="B5" s="49">
        <v>2013</v>
      </c>
      <c r="C5" s="56">
        <f t="shared" si="1"/>
        <v>59.381211075629921</v>
      </c>
      <c r="D5" s="56">
        <f t="shared" si="1"/>
        <v>2.573917132142451</v>
      </c>
      <c r="E5" s="186">
        <f t="shared" si="1"/>
        <v>61.317900066642373</v>
      </c>
      <c r="F5" s="38">
        <v>43.223140290234916</v>
      </c>
    </row>
    <row r="6" spans="1:6" ht="15" x14ac:dyDescent="0.35">
      <c r="A6" s="185"/>
      <c r="B6" s="50">
        <v>2014</v>
      </c>
      <c r="C6" s="56">
        <f t="shared" si="1"/>
        <v>64.028883709179937</v>
      </c>
      <c r="D6" s="56">
        <f t="shared" si="1"/>
        <v>2.7767382252300012</v>
      </c>
      <c r="E6" s="186">
        <f t="shared" si="1"/>
        <v>66.01995424843993</v>
      </c>
      <c r="F6" s="40">
        <v>5.7111258232794979</v>
      </c>
    </row>
    <row r="7" spans="1:6" ht="3.75" customHeight="1" x14ac:dyDescent="0.35">
      <c r="A7" s="185"/>
      <c r="B7" s="50"/>
      <c r="C7" s="56"/>
      <c r="D7" s="56"/>
      <c r="E7" s="186"/>
      <c r="F7" s="40"/>
    </row>
    <row r="8" spans="1:6" ht="15" x14ac:dyDescent="0.35">
      <c r="A8" s="185"/>
      <c r="B8" s="49">
        <v>2015</v>
      </c>
      <c r="C8" s="56">
        <f t="shared" ref="C8:E8" si="2">+C32/1000000</f>
        <v>54.057599471979977</v>
      </c>
      <c r="D8" s="56">
        <f t="shared" si="2"/>
        <v>2.3803334369827063</v>
      </c>
      <c r="E8" s="186">
        <f t="shared" si="2"/>
        <v>55.533847213202677</v>
      </c>
      <c r="F8" s="38">
        <v>-1.515962923544403</v>
      </c>
    </row>
    <row r="9" spans="1:6" ht="5.25" customHeight="1" x14ac:dyDescent="0.35">
      <c r="A9" s="185"/>
      <c r="B9" s="49"/>
      <c r="C9" s="56"/>
      <c r="D9" s="56"/>
      <c r="E9" s="186"/>
      <c r="F9" s="38"/>
    </row>
    <row r="10" spans="1:6" ht="15" x14ac:dyDescent="0.35">
      <c r="A10" s="185"/>
      <c r="B10" s="50">
        <v>2016</v>
      </c>
      <c r="C10" s="56">
        <f t="shared" ref="C10:E10" si="3">+C33/1000000</f>
        <v>44.889366874919929</v>
      </c>
      <c r="D10" s="56">
        <f t="shared" si="3"/>
        <v>2.0390515300172614</v>
      </c>
      <c r="E10" s="186">
        <f t="shared" si="3"/>
        <v>45.899288493587186</v>
      </c>
      <c r="F10" s="40">
        <v>-6.3740023508648145</v>
      </c>
    </row>
    <row r="11" spans="1:6" ht="0.75" customHeight="1" x14ac:dyDescent="0.35">
      <c r="A11" s="185"/>
      <c r="B11" s="50"/>
      <c r="C11" s="56"/>
      <c r="D11" s="56"/>
      <c r="E11" s="186"/>
      <c r="F11" s="40"/>
    </row>
    <row r="12" spans="1:6" ht="15" x14ac:dyDescent="0.35">
      <c r="A12" s="185"/>
      <c r="B12" s="49">
        <v>2017</v>
      </c>
      <c r="C12" s="56">
        <f t="shared" ref="C12:E12" si="4">+C34/1000000</f>
        <v>46.07105787784996</v>
      </c>
      <c r="D12" s="56">
        <f t="shared" si="4"/>
        <v>2.1109536733706005</v>
      </c>
      <c r="E12" s="186">
        <f t="shared" si="4"/>
        <v>46.741564314720556</v>
      </c>
      <c r="F12" s="38">
        <v>-32.865982948539447</v>
      </c>
    </row>
    <row r="13" spans="1:6" ht="3" customHeight="1" x14ac:dyDescent="0.35">
      <c r="A13" s="185"/>
      <c r="B13" s="49"/>
      <c r="C13" s="56"/>
      <c r="D13" s="56"/>
      <c r="E13" s="186"/>
      <c r="F13" s="38"/>
    </row>
    <row r="14" spans="1:6" ht="15" x14ac:dyDescent="0.35">
      <c r="A14" s="185"/>
      <c r="B14" s="50">
        <v>2018</v>
      </c>
      <c r="C14" s="56">
        <f t="shared" ref="C14:E14" si="5">+C35/1000000</f>
        <v>51.230567184149869</v>
      </c>
      <c r="D14" s="56">
        <f t="shared" si="5"/>
        <v>1.7834391507359144</v>
      </c>
      <c r="E14" s="186">
        <f t="shared" si="5"/>
        <v>51.972440727035789</v>
      </c>
      <c r="F14" s="40">
        <v>-12.234503062165277</v>
      </c>
    </row>
    <row r="15" spans="1:6" ht="3.75" customHeight="1" x14ac:dyDescent="0.35">
      <c r="A15" s="185"/>
      <c r="B15" s="50"/>
      <c r="C15" s="56"/>
      <c r="D15" s="56"/>
      <c r="E15" s="186"/>
      <c r="F15" s="40"/>
    </row>
    <row r="16" spans="1:6" ht="15" x14ac:dyDescent="0.35">
      <c r="A16" s="185"/>
      <c r="B16" s="51">
        <v>2019</v>
      </c>
      <c r="C16" s="56">
        <f t="shared" ref="C16:E16" si="6">+C36/1000000</f>
        <v>52.702624272089984</v>
      </c>
      <c r="D16" s="56">
        <f t="shared" si="6"/>
        <v>1.3898469382153287</v>
      </c>
      <c r="E16" s="186">
        <f t="shared" si="6"/>
        <v>53.20861713729532</v>
      </c>
      <c r="F16" s="42">
        <v>16.523379581978954</v>
      </c>
    </row>
    <row r="17" spans="1:9" ht="3.75" customHeight="1" x14ac:dyDescent="0.35">
      <c r="A17" s="185"/>
      <c r="B17" s="51"/>
      <c r="C17" s="56"/>
      <c r="D17" s="56"/>
      <c r="E17" s="186"/>
      <c r="F17" s="42"/>
    </row>
    <row r="18" spans="1:9" ht="15" x14ac:dyDescent="0.35">
      <c r="A18" s="185"/>
      <c r="B18" s="52">
        <v>2020</v>
      </c>
      <c r="C18" s="56">
        <f t="shared" ref="C18:E18" si="7">+C37/1000000</f>
        <v>43.488662006790051</v>
      </c>
      <c r="D18" s="56">
        <f t="shared" si="7"/>
        <v>1.0532722693099998</v>
      </c>
      <c r="E18" s="186">
        <f t="shared" si="7"/>
        <v>44.030917395030052</v>
      </c>
      <c r="F18" s="44">
        <v>10.35477307107546</v>
      </c>
    </row>
    <row r="19" spans="1:9" ht="1.5" customHeight="1" x14ac:dyDescent="0.35">
      <c r="A19" s="185"/>
      <c r="B19" s="52"/>
      <c r="C19" s="56"/>
      <c r="D19" s="56"/>
      <c r="E19" s="186"/>
      <c r="F19" s="44"/>
    </row>
    <row r="20" spans="1:9" ht="15" x14ac:dyDescent="0.35">
      <c r="A20" s="185"/>
      <c r="B20" s="53">
        <v>2021</v>
      </c>
      <c r="C20" s="57">
        <f t="shared" ref="C20:E20" si="8">+C38/1000000</f>
        <v>61.101362246449966</v>
      </c>
      <c r="D20" s="57">
        <f t="shared" si="8"/>
        <v>1.6863345575620006</v>
      </c>
      <c r="E20" s="187">
        <f t="shared" si="8"/>
        <v>61.892909126731986</v>
      </c>
      <c r="F20" s="46">
        <v>-5.5735809145159001</v>
      </c>
    </row>
    <row r="21" spans="1:9" ht="15" x14ac:dyDescent="0.35">
      <c r="B21" s="65"/>
      <c r="F21" s="67"/>
      <c r="G21" s="66">
        <f>+((C24/C6)^(1/8))-1</f>
        <v>-0.14122903508845508</v>
      </c>
      <c r="H21" s="66">
        <f t="shared" ref="H21:I21" si="9">+((D24/D6)^(1/8))-1</f>
        <v>-0.17902069018955724</v>
      </c>
      <c r="I21" s="66">
        <f t="shared" si="9"/>
        <v>-0.14280891675811014</v>
      </c>
    </row>
    <row r="22" spans="1:9" ht="15" x14ac:dyDescent="0.35">
      <c r="A22" s="211" t="s">
        <v>152</v>
      </c>
      <c r="B22" s="54">
        <v>2021</v>
      </c>
      <c r="C22" s="62">
        <f>+C40/1000000</f>
        <v>12.661049</v>
      </c>
      <c r="D22" s="62">
        <f>+D40/1000000</f>
        <v>0.39302799999999999</v>
      </c>
      <c r="E22" s="62">
        <f>+E40/1000000</f>
        <v>12.838714</v>
      </c>
      <c r="F22" s="72"/>
    </row>
    <row r="23" spans="1:9" ht="7.5" customHeight="1" x14ac:dyDescent="0.35">
      <c r="A23" s="211"/>
      <c r="B23" s="51"/>
      <c r="C23" s="58"/>
      <c r="D23" s="58"/>
      <c r="E23" s="58"/>
      <c r="F23" s="44"/>
    </row>
    <row r="24" spans="1:9" ht="15" x14ac:dyDescent="0.35">
      <c r="A24" s="211"/>
      <c r="B24" s="53">
        <v>2022</v>
      </c>
      <c r="C24" s="59">
        <f>+C41/1000000</f>
        <v>18.940644389700001</v>
      </c>
      <c r="D24" s="59">
        <f>+D41/1000000</f>
        <v>0.57305015827000028</v>
      </c>
      <c r="E24" s="59">
        <f>+E41/1000000</f>
        <v>19.244045580809999</v>
      </c>
      <c r="F24" s="47">
        <f>+(C24/C22-1)*100</f>
        <v>49.597749678561385</v>
      </c>
      <c r="G24" s="47">
        <f>+(E24/E22-1)*100</f>
        <v>49.890756821983871</v>
      </c>
    </row>
    <row r="26" spans="1:9" ht="15.6" thickBot="1" x14ac:dyDescent="0.4">
      <c r="B26" s="33"/>
      <c r="C26" s="34"/>
      <c r="D26" s="34"/>
      <c r="E26" s="34"/>
      <c r="F26" s="35" t="s">
        <v>73</v>
      </c>
    </row>
    <row r="27" spans="1:9" ht="75" x14ac:dyDescent="0.3">
      <c r="B27" s="48" t="s">
        <v>74</v>
      </c>
      <c r="C27" s="36" t="s">
        <v>79</v>
      </c>
      <c r="D27" s="36" t="s">
        <v>81</v>
      </c>
      <c r="E27" s="36" t="s">
        <v>80</v>
      </c>
      <c r="F27" s="36" t="s">
        <v>78</v>
      </c>
    </row>
    <row r="28" spans="1:9" ht="15" x14ac:dyDescent="0.35">
      <c r="A28" s="211"/>
      <c r="B28" s="50">
        <v>2011</v>
      </c>
      <c r="C28" s="39">
        <v>54232569.162210003</v>
      </c>
      <c r="D28" s="39">
        <v>2332484.8214414106</v>
      </c>
      <c r="E28" s="39">
        <v>56047268.115451418</v>
      </c>
      <c r="F28" s="38">
        <v>24.241821066593523</v>
      </c>
    </row>
    <row r="29" spans="1:9" ht="15" x14ac:dyDescent="0.35">
      <c r="A29" s="211"/>
      <c r="B29" s="49">
        <v>2012</v>
      </c>
      <c r="C29" s="37">
        <v>59047684.161589995</v>
      </c>
      <c r="D29" s="37">
        <v>3140389.0547630959</v>
      </c>
      <c r="E29" s="37">
        <v>61552733.309763104</v>
      </c>
      <c r="F29" s="40">
        <v>34.803091004602884</v>
      </c>
    </row>
    <row r="30" spans="1:9" ht="15" x14ac:dyDescent="0.35">
      <c r="A30" s="211"/>
      <c r="B30" s="50">
        <v>2013</v>
      </c>
      <c r="C30" s="39">
        <v>59381211.07562992</v>
      </c>
      <c r="D30" s="39">
        <v>2573917.1321424511</v>
      </c>
      <c r="E30" s="39">
        <v>61317900.066642374</v>
      </c>
      <c r="F30" s="38">
        <v>9.8228966003677787</v>
      </c>
    </row>
    <row r="31" spans="1:9" ht="15" x14ac:dyDescent="0.35">
      <c r="A31" s="211"/>
      <c r="B31" s="49">
        <v>2014</v>
      </c>
      <c r="C31" s="37">
        <v>64028883.70917993</v>
      </c>
      <c r="D31" s="37">
        <v>2776738.2252300014</v>
      </c>
      <c r="E31" s="37">
        <v>66019954.24843993</v>
      </c>
      <c r="F31" s="40">
        <v>-0.38151554040490904</v>
      </c>
      <c r="G31" s="63">
        <f>+E31-C31</f>
        <v>1991070.53926</v>
      </c>
    </row>
    <row r="32" spans="1:9" ht="15" x14ac:dyDescent="0.35">
      <c r="A32" s="211"/>
      <c r="B32" s="50">
        <v>2015</v>
      </c>
      <c r="C32" s="39">
        <v>54057599.471979976</v>
      </c>
      <c r="D32" s="39">
        <v>2380333.4369827062</v>
      </c>
      <c r="E32" s="39">
        <v>55533847.213202678</v>
      </c>
      <c r="F32" s="38">
        <v>7.6683222626463241</v>
      </c>
      <c r="G32" s="63">
        <f t="shared" ref="G32:G38" si="10">+E32-C32</f>
        <v>1476247.741222702</v>
      </c>
    </row>
    <row r="33" spans="1:8" ht="15" x14ac:dyDescent="0.35">
      <c r="A33" s="211"/>
      <c r="B33" s="49">
        <v>2016</v>
      </c>
      <c r="C33" s="37">
        <v>44889366.874919929</v>
      </c>
      <c r="D33" s="37">
        <v>2039051.5300172614</v>
      </c>
      <c r="E33" s="37">
        <v>45899288.493587188</v>
      </c>
      <c r="F33" s="40">
        <v>-15.883238870140612</v>
      </c>
      <c r="G33" s="63">
        <f t="shared" si="10"/>
        <v>1009921.6186672598</v>
      </c>
    </row>
    <row r="34" spans="1:8" ht="15" x14ac:dyDescent="0.35">
      <c r="A34" s="211"/>
      <c r="B34" s="50">
        <v>2017</v>
      </c>
      <c r="C34" s="39">
        <v>46071057.877849959</v>
      </c>
      <c r="D34" s="39">
        <v>2110953.6733706007</v>
      </c>
      <c r="E34" s="39">
        <v>46741564.314720556</v>
      </c>
      <c r="F34" s="38">
        <v>-17.348984813940564</v>
      </c>
      <c r="G34" s="63">
        <f t="shared" si="10"/>
        <v>670506.4368705973</v>
      </c>
    </row>
    <row r="35" spans="1:8" ht="15" x14ac:dyDescent="0.35">
      <c r="A35" s="211"/>
      <c r="B35" s="49">
        <v>2018</v>
      </c>
      <c r="C35" s="41">
        <v>51230567.184149869</v>
      </c>
      <c r="D35" s="41">
        <v>1783439.1507359145</v>
      </c>
      <c r="E35" s="41">
        <v>51972440.727035791</v>
      </c>
      <c r="F35" s="40">
        <v>1.8350520210156369</v>
      </c>
      <c r="G35" s="63">
        <f t="shared" si="10"/>
        <v>741873.5428859219</v>
      </c>
    </row>
    <row r="36" spans="1:8" ht="15" x14ac:dyDescent="0.35">
      <c r="A36" s="211"/>
      <c r="B36" s="50">
        <v>2019</v>
      </c>
      <c r="C36" s="43">
        <v>52702624.272089988</v>
      </c>
      <c r="D36" s="43">
        <v>1389846.9382153286</v>
      </c>
      <c r="E36" s="43">
        <v>53208617.137295321</v>
      </c>
      <c r="F36" s="42">
        <v>11.191059796575626</v>
      </c>
      <c r="G36" s="63">
        <f t="shared" si="10"/>
        <v>505992.86520533264</v>
      </c>
    </row>
    <row r="37" spans="1:8" ht="15" x14ac:dyDescent="0.35">
      <c r="A37" s="211"/>
      <c r="B37" s="49">
        <v>2020</v>
      </c>
      <c r="C37" s="45">
        <v>43488662.006790049</v>
      </c>
      <c r="D37" s="45">
        <v>1053272.2693099999</v>
      </c>
      <c r="E37" s="45">
        <v>44030917.395030051</v>
      </c>
      <c r="F37" s="44">
        <v>2.3785229113099486</v>
      </c>
      <c r="G37" s="63">
        <f t="shared" si="10"/>
        <v>542255.3882400021</v>
      </c>
    </row>
    <row r="38" spans="1:8" ht="15" x14ac:dyDescent="0.35">
      <c r="A38" s="211"/>
      <c r="B38" s="49">
        <v>2021</v>
      </c>
      <c r="C38" s="45">
        <v>61101362.24644997</v>
      </c>
      <c r="D38" s="45">
        <v>1686334.5575620006</v>
      </c>
      <c r="E38" s="45">
        <v>61892909.126731984</v>
      </c>
      <c r="F38" s="46">
        <v>-17.248521453928888</v>
      </c>
      <c r="G38" s="63">
        <f t="shared" si="10"/>
        <v>791546.88028201461</v>
      </c>
    </row>
    <row r="39" spans="1:8" ht="15" x14ac:dyDescent="0.35">
      <c r="A39" s="55"/>
      <c r="B39" s="51"/>
      <c r="C39" s="41"/>
      <c r="D39" s="41"/>
      <c r="E39" s="41"/>
      <c r="F39" s="42"/>
      <c r="G39" s="63">
        <f>+AVERAGE(G31:G38,G41)*1000</f>
        <v>892535133.74931443</v>
      </c>
      <c r="H39" s="64">
        <f>+G39/1000000</f>
        <v>892.53513374931447</v>
      </c>
    </row>
    <row r="40" spans="1:8" ht="15" x14ac:dyDescent="0.35">
      <c r="A40" s="211" t="s">
        <v>88</v>
      </c>
      <c r="B40" s="54">
        <v>2021</v>
      </c>
      <c r="C40" s="60">
        <f>+SUM(C43:C54)</f>
        <v>12661049</v>
      </c>
      <c r="D40" s="60">
        <f t="shared" ref="D40" si="11">+SUM(D43:D54)</f>
        <v>393028</v>
      </c>
      <c r="E40" s="60">
        <f>+SUM(E43:E54)</f>
        <v>12838714</v>
      </c>
      <c r="F40" s="61">
        <f>E41-C41</f>
        <v>303401.19111000001</v>
      </c>
    </row>
    <row r="41" spans="1:8" ht="15" x14ac:dyDescent="0.35">
      <c r="A41" s="211"/>
      <c r="B41" s="53">
        <v>2022</v>
      </c>
      <c r="C41" s="98">
        <f>SUM(C55:C67)</f>
        <v>18940644.389699999</v>
      </c>
      <c r="D41" s="98">
        <f t="shared" ref="D41:E41" si="12">SUM(D55:D67)</f>
        <v>573050.15827000025</v>
      </c>
      <c r="E41" s="98">
        <f t="shared" si="12"/>
        <v>19244045.580809999</v>
      </c>
      <c r="F41" s="99">
        <f>E41/E40-1</f>
        <v>0.49890756821983873</v>
      </c>
      <c r="G41" s="63">
        <f>+E41-C41</f>
        <v>303401.19111000001</v>
      </c>
      <c r="H41" s="8">
        <f>+E41/1000</f>
        <v>19244.045580809998</v>
      </c>
    </row>
    <row r="43" spans="1:8" ht="15" x14ac:dyDescent="0.3">
      <c r="B43" s="125">
        <v>44197</v>
      </c>
      <c r="C43" s="124">
        <v>3822025</v>
      </c>
      <c r="D43" s="124">
        <v>124894</v>
      </c>
      <c r="E43" s="124">
        <v>3889791</v>
      </c>
      <c r="F43" s="123">
        <v>-11.2</v>
      </c>
    </row>
    <row r="44" spans="1:8" ht="15" x14ac:dyDescent="0.3">
      <c r="B44" s="122">
        <v>44228</v>
      </c>
      <c r="C44" s="121">
        <v>3904241</v>
      </c>
      <c r="D44" s="121">
        <v>112964</v>
      </c>
      <c r="E44" s="121">
        <v>3941766</v>
      </c>
      <c r="F44" s="120">
        <v>-1.6</v>
      </c>
    </row>
    <row r="45" spans="1:8" ht="15" x14ac:dyDescent="0.3">
      <c r="B45" s="132">
        <v>44256</v>
      </c>
      <c r="C45" s="124">
        <v>4934783</v>
      </c>
      <c r="D45" s="124">
        <v>155170</v>
      </c>
      <c r="E45" s="124">
        <v>5007157</v>
      </c>
      <c r="F45" s="183">
        <v>37.299999999999997</v>
      </c>
    </row>
    <row r="46" spans="1:8" ht="15" x14ac:dyDescent="0.3">
      <c r="B46" s="130">
        <v>43922</v>
      </c>
      <c r="C46" s="121"/>
      <c r="D46" s="121"/>
      <c r="E46" s="121"/>
      <c r="F46" s="184"/>
    </row>
    <row r="47" spans="1:8" ht="15" x14ac:dyDescent="0.3">
      <c r="B47" s="132">
        <v>43952</v>
      </c>
      <c r="C47" s="124"/>
      <c r="D47" s="124"/>
      <c r="E47" s="124"/>
      <c r="F47" s="183"/>
    </row>
    <row r="48" spans="1:8" ht="15" x14ac:dyDescent="0.3">
      <c r="B48" s="130">
        <v>43983</v>
      </c>
      <c r="C48" s="121"/>
      <c r="D48" s="121"/>
      <c r="E48" s="121"/>
      <c r="F48" s="184"/>
    </row>
    <row r="49" spans="2:7" ht="15" x14ac:dyDescent="0.3">
      <c r="B49" s="132">
        <v>44013</v>
      </c>
      <c r="C49" s="124"/>
      <c r="D49" s="124"/>
      <c r="E49" s="124"/>
      <c r="F49" s="183"/>
    </row>
    <row r="50" spans="2:7" ht="15" x14ac:dyDescent="0.3">
      <c r="B50" s="130">
        <v>44044</v>
      </c>
      <c r="C50" s="121"/>
      <c r="D50" s="121"/>
      <c r="E50" s="121"/>
      <c r="F50" s="184"/>
    </row>
    <row r="51" spans="2:7" ht="15" x14ac:dyDescent="0.3">
      <c r="B51" s="132">
        <v>44075</v>
      </c>
      <c r="C51" s="124"/>
      <c r="D51" s="124"/>
      <c r="E51" s="124"/>
      <c r="F51" s="183"/>
    </row>
    <row r="52" spans="2:7" ht="15" x14ac:dyDescent="0.3">
      <c r="B52" s="130">
        <v>44105</v>
      </c>
      <c r="C52" s="121"/>
      <c r="D52" s="121"/>
      <c r="E52" s="121"/>
      <c r="F52" s="184"/>
    </row>
    <row r="53" spans="2:7" ht="15" x14ac:dyDescent="0.3">
      <c r="B53" s="132">
        <v>44136</v>
      </c>
      <c r="C53" s="124"/>
      <c r="D53" s="124"/>
      <c r="E53" s="124"/>
      <c r="F53" s="183"/>
    </row>
    <row r="54" spans="2:7" ht="15" x14ac:dyDescent="0.3">
      <c r="B54" s="130">
        <v>44166</v>
      </c>
      <c r="C54" s="121"/>
      <c r="D54" s="121"/>
      <c r="E54" s="121"/>
      <c r="F54" s="184"/>
      <c r="G54" s="96"/>
    </row>
    <row r="55" spans="2:7" ht="15" x14ac:dyDescent="0.3">
      <c r="B55" s="190">
        <v>44562</v>
      </c>
      <c r="C55" s="189">
        <v>6050577.5911999997</v>
      </c>
      <c r="D55" s="189">
        <v>140642.20521000001</v>
      </c>
      <c r="E55" s="189">
        <v>6136683.57216</v>
      </c>
      <c r="F55" s="193">
        <v>57.763820251296615</v>
      </c>
    </row>
    <row r="56" spans="2:7" ht="15" x14ac:dyDescent="0.3">
      <c r="B56" s="191">
        <v>44593</v>
      </c>
      <c r="C56" s="188">
        <v>5826681.6201999998</v>
      </c>
      <c r="D56" s="188">
        <v>165983.73906999998</v>
      </c>
      <c r="E56" s="188">
        <v>5885286.4581599999</v>
      </c>
      <c r="F56" s="192">
        <v>49.305834143536629</v>
      </c>
    </row>
    <row r="57" spans="2:7" ht="15" x14ac:dyDescent="0.3">
      <c r="B57" s="194">
        <v>44621</v>
      </c>
      <c r="C57" s="195">
        <v>7063385.1782999998</v>
      </c>
      <c r="D57" s="195">
        <v>266424.21399000025</v>
      </c>
      <c r="E57" s="195">
        <v>7222075.5504899994</v>
      </c>
      <c r="F57" s="196">
        <v>44.235046738425488</v>
      </c>
    </row>
    <row r="58" spans="2:7" ht="15" x14ac:dyDescent="0.3">
      <c r="B58" s="130">
        <v>44287</v>
      </c>
      <c r="C58" s="121"/>
      <c r="D58" s="121"/>
      <c r="E58" s="121"/>
      <c r="F58" s="184"/>
    </row>
    <row r="59" spans="2:7" ht="15" x14ac:dyDescent="0.3">
      <c r="B59" s="132">
        <v>44317</v>
      </c>
      <c r="C59" s="124"/>
      <c r="D59" s="124"/>
      <c r="E59" s="124"/>
      <c r="F59" s="183"/>
    </row>
    <row r="60" spans="2:7" ht="15" x14ac:dyDescent="0.3">
      <c r="B60" s="130">
        <v>44348</v>
      </c>
      <c r="C60" s="121"/>
      <c r="D60" s="121"/>
      <c r="E60" s="121"/>
      <c r="F60" s="184"/>
    </row>
    <row r="61" spans="2:7" ht="15" x14ac:dyDescent="0.3">
      <c r="B61" s="132">
        <v>44378</v>
      </c>
      <c r="C61" s="124"/>
      <c r="D61" s="124"/>
      <c r="E61" s="124"/>
      <c r="F61" s="183"/>
    </row>
    <row r="62" spans="2:7" ht="15" x14ac:dyDescent="0.3">
      <c r="B62" s="130">
        <v>44409</v>
      </c>
      <c r="C62" s="121"/>
      <c r="D62" s="121"/>
      <c r="E62" s="121"/>
      <c r="F62" s="184"/>
    </row>
    <row r="63" spans="2:7" ht="15" x14ac:dyDescent="0.3">
      <c r="B63" s="132">
        <v>44440</v>
      </c>
      <c r="C63" s="124"/>
      <c r="D63" s="124"/>
      <c r="E63" s="124"/>
      <c r="F63" s="183"/>
    </row>
    <row r="64" spans="2:7" ht="15" x14ac:dyDescent="0.3">
      <c r="B64" s="130">
        <v>44470</v>
      </c>
      <c r="C64" s="121"/>
      <c r="D64" s="121"/>
      <c r="E64" s="121"/>
      <c r="F64" s="184"/>
    </row>
    <row r="65" spans="2:6" ht="15" x14ac:dyDescent="0.3">
      <c r="B65" s="132">
        <v>44501</v>
      </c>
      <c r="C65" s="124"/>
      <c r="D65" s="124"/>
      <c r="E65" s="124"/>
      <c r="F65" s="183"/>
    </row>
    <row r="66" spans="2:6" ht="15" x14ac:dyDescent="0.3">
      <c r="B66" s="130">
        <v>44531</v>
      </c>
      <c r="C66" s="121"/>
      <c r="D66" s="121"/>
      <c r="E66" s="121"/>
      <c r="F66" s="184"/>
    </row>
  </sheetData>
  <mergeCells count="3">
    <mergeCell ref="A22:A24"/>
    <mergeCell ref="A28:A38"/>
    <mergeCell ref="A40:A4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7" sqref="B7"/>
    </sheetView>
  </sheetViews>
  <sheetFormatPr baseColWidth="10" defaultRowHeight="14.4" x14ac:dyDescent="0.3"/>
  <cols>
    <col min="2" max="2" width="39.6640625" customWidth="1"/>
  </cols>
  <sheetData>
    <row r="1" spans="1:7" x14ac:dyDescent="0.3">
      <c r="A1" s="212" t="s">
        <v>107</v>
      </c>
      <c r="B1" s="212"/>
      <c r="C1" s="212"/>
      <c r="D1" s="212"/>
    </row>
    <row r="2" spans="1:7" x14ac:dyDescent="0.3">
      <c r="A2" s="213" t="s">
        <v>61</v>
      </c>
      <c r="B2" s="213"/>
      <c r="C2" s="213"/>
      <c r="D2" s="213"/>
      <c r="E2" t="s">
        <v>115</v>
      </c>
    </row>
    <row r="3" spans="1:7" x14ac:dyDescent="0.3">
      <c r="C3">
        <v>2020</v>
      </c>
      <c r="D3">
        <v>2021</v>
      </c>
      <c r="E3" s="147">
        <v>43831</v>
      </c>
      <c r="F3" s="147">
        <v>44197</v>
      </c>
    </row>
    <row r="4" spans="1:7" x14ac:dyDescent="0.3">
      <c r="A4" s="139" t="s">
        <v>128</v>
      </c>
      <c r="B4" s="138" t="str">
        <f>VLOOKUP(A4,'PB DE PRODUCTOSM IMPO MES'!$A$17:$B$39,2,FALSE)</f>
        <v>Otro productos de las industrias alimentarias</v>
      </c>
      <c r="C4" s="144">
        <v>7251.6177899999984</v>
      </c>
      <c r="D4" s="144">
        <v>11485.317159999995</v>
      </c>
      <c r="E4" s="70">
        <f t="shared" ref="E4:F7" si="0">C4/C$9</f>
        <v>2.8249214197459856E-2</v>
      </c>
      <c r="F4" s="70">
        <f t="shared" si="0"/>
        <v>4.8179007830045306E-2</v>
      </c>
      <c r="G4" s="150">
        <f>F4-E4</f>
        <v>1.9929793632585451E-2</v>
      </c>
    </row>
    <row r="5" spans="1:7" ht="26.4" x14ac:dyDescent="0.3">
      <c r="A5" s="139" t="s">
        <v>113</v>
      </c>
      <c r="B5" s="138" t="str">
        <f>VLOOKUP(A5,'PB DE PRODUCTOSM IMPO MES'!$A$17:$B$39,2,FALSE)</f>
        <v>Otros productos de materias textiles y sus manufacturas </v>
      </c>
      <c r="C5" s="144">
        <v>3576.3501799999999</v>
      </c>
      <c r="D5" s="144">
        <v>6992.7954787079943</v>
      </c>
      <c r="E5" s="70">
        <f t="shared" si="0"/>
        <v>1.393193701125058E-2</v>
      </c>
      <c r="F5" s="70">
        <f t="shared" si="0"/>
        <v>2.9333621651818454E-2</v>
      </c>
      <c r="G5" s="150">
        <f t="shared" ref="G5:G7" si="1">F5-E5</f>
        <v>1.5401684640567874E-2</v>
      </c>
    </row>
    <row r="6" spans="1:7" ht="26.4" x14ac:dyDescent="0.3">
      <c r="A6" s="137" t="s">
        <v>123</v>
      </c>
      <c r="B6" s="138" t="str">
        <f>VLOOKUP(A6,'PB DE PRODUCTOSM IMPO MES'!$A$17:$B$39,2,FALSE)</f>
        <v>Otros productos y manufacturas de metales comunes</v>
      </c>
      <c r="C6" s="144">
        <v>4358.4048999999995</v>
      </c>
      <c r="D6" s="144">
        <v>7358.7697500000068</v>
      </c>
      <c r="E6" s="70">
        <f t="shared" si="0"/>
        <v>1.6978489096480445E-2</v>
      </c>
      <c r="F6" s="70">
        <f t="shared" si="0"/>
        <v>3.0868823251960685E-2</v>
      </c>
      <c r="G6" s="150">
        <f t="shared" si="1"/>
        <v>1.3890334155480241E-2</v>
      </c>
    </row>
    <row r="7" spans="1:7" ht="37.950000000000003" customHeight="1" x14ac:dyDescent="0.3">
      <c r="A7" s="137" t="s">
        <v>127</v>
      </c>
      <c r="B7" s="138" t="str">
        <f>VLOOKUP(A7,'PB DE PRODUCTOSM IMPO MES'!$A$17:$B$39,2,FALSE)</f>
        <v>Otros productos de madera, carbón vegetal y manufacturas de madera</v>
      </c>
      <c r="C7" s="144">
        <v>484.23942999999991</v>
      </c>
      <c r="D7" s="144">
        <v>238.99988000000002</v>
      </c>
      <c r="E7" s="70">
        <f t="shared" si="0"/>
        <v>1.8863905651218648E-3</v>
      </c>
      <c r="F7" s="70">
        <f t="shared" si="0"/>
        <v>1.0025650079566366E-3</v>
      </c>
      <c r="G7" s="150">
        <f t="shared" si="1"/>
        <v>-8.8382555716522821E-4</v>
      </c>
    </row>
    <row r="8" spans="1:7" x14ac:dyDescent="0.3">
      <c r="A8" s="138" t="s">
        <v>122</v>
      </c>
      <c r="B8" s="138"/>
      <c r="C8" s="144">
        <v>9764.7332199999964</v>
      </c>
      <c r="D8" s="144">
        <v>8147.6732309650024</v>
      </c>
      <c r="E8" s="71"/>
      <c r="F8" s="71"/>
    </row>
    <row r="9" spans="1:7" x14ac:dyDescent="0.3">
      <c r="C9" s="96">
        <f>CUADRO!B9</f>
        <v>256701.57546017889</v>
      </c>
      <c r="D9" s="96">
        <f>CUADRO!C9</f>
        <v>238388.41182689407</v>
      </c>
      <c r="E9" s="71">
        <f t="shared" ref="E9:F9" si="2">C9/C$9</f>
        <v>1</v>
      </c>
      <c r="F9" s="71">
        <f t="shared" si="2"/>
        <v>1</v>
      </c>
    </row>
  </sheetData>
  <autoFilter ref="A3:F3">
    <sortState ref="A4:F7">
      <sortCondition descending="1" ref="F3"/>
    </sortState>
  </autoFilter>
  <mergeCells count="2"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6" sqref="B6"/>
    </sheetView>
  </sheetViews>
  <sheetFormatPr baseColWidth="10" defaultRowHeight="14.4" x14ac:dyDescent="0.3"/>
  <cols>
    <col min="2" max="2" width="17.6640625" customWidth="1"/>
  </cols>
  <sheetData>
    <row r="1" spans="1:7" x14ac:dyDescent="0.3">
      <c r="A1" s="212" t="s">
        <v>107</v>
      </c>
      <c r="B1" s="212"/>
      <c r="C1" s="212"/>
      <c r="D1" s="212"/>
      <c r="E1" s="212"/>
      <c r="F1" s="212"/>
    </row>
    <row r="2" spans="1:7" x14ac:dyDescent="0.3">
      <c r="A2" s="212" t="s">
        <v>108</v>
      </c>
      <c r="B2" s="212"/>
      <c r="C2" s="212"/>
      <c r="D2" s="212"/>
      <c r="E2" s="149"/>
      <c r="F2" s="149"/>
    </row>
    <row r="3" spans="1:7" x14ac:dyDescent="0.3">
      <c r="A3" s="141"/>
      <c r="B3" s="148"/>
      <c r="C3" s="141">
        <v>2020</v>
      </c>
      <c r="D3" s="141">
        <v>2021</v>
      </c>
      <c r="E3" s="147">
        <v>44024</v>
      </c>
      <c r="F3" s="147">
        <v>44390</v>
      </c>
    </row>
    <row r="4" spans="1:7" ht="39.6" x14ac:dyDescent="0.3">
      <c r="A4" s="152" t="s">
        <v>123</v>
      </c>
      <c r="B4" s="138" t="str">
        <f>VLOOKUP(A4,'PB DE PRODUCTOSM IMPO MES'!$A$17:$B$39,2,FALSE)</f>
        <v>Otros productos y manufacturas de metales comunes</v>
      </c>
      <c r="C4" s="145">
        <v>20477.902439999994</v>
      </c>
      <c r="D4" s="145">
        <v>35320.847890000026</v>
      </c>
      <c r="E4" s="70">
        <f t="shared" ref="E4:F8" si="0">C4/C$9</f>
        <v>3.0467082175528688E-2</v>
      </c>
      <c r="F4" s="70">
        <f t="shared" si="0"/>
        <v>6.6650172035612479E-2</v>
      </c>
      <c r="G4" s="150">
        <f>F4-E4</f>
        <v>3.6183089860083791E-2</v>
      </c>
    </row>
    <row r="5" spans="1:7" x14ac:dyDescent="0.3">
      <c r="A5" s="138" t="s">
        <v>122</v>
      </c>
      <c r="B5" s="138" t="str">
        <f>VLOOKUP(A5,'PB DE PRODUCTOSM IMPO MES'!$A$17:$B$39,2,FALSE)</f>
        <v>Aparatos electricos</v>
      </c>
      <c r="C5" s="145">
        <v>39314.350940000004</v>
      </c>
      <c r="D5" s="145">
        <v>32753.478790964993</v>
      </c>
      <c r="E5" s="70">
        <f t="shared" si="0"/>
        <v>5.8492004455831068E-2</v>
      </c>
      <c r="F5" s="70">
        <f t="shared" si="0"/>
        <v>6.1805566020986018E-2</v>
      </c>
      <c r="G5" s="150">
        <f t="shared" ref="G5:G8" si="1">F5-E5</f>
        <v>3.3135615651549502E-3</v>
      </c>
    </row>
    <row r="6" spans="1:7" ht="39.6" x14ac:dyDescent="0.3">
      <c r="A6" s="152" t="s">
        <v>113</v>
      </c>
      <c r="B6" s="138" t="str">
        <f>VLOOKUP(A6,'PB DE PRODUCTOSM IMPO MES'!$A$17:$B$39,2,FALSE)</f>
        <v>Otros productos de materias textiles y sus manufacturas </v>
      </c>
      <c r="C6" s="145">
        <v>17932.886450000009</v>
      </c>
      <c r="D6" s="145">
        <v>32670.920208708005</v>
      </c>
      <c r="E6" s="70">
        <f t="shared" si="0"/>
        <v>2.6680600062306738E-2</v>
      </c>
      <c r="F6" s="70">
        <f t="shared" si="0"/>
        <v>6.1649778602530465E-2</v>
      </c>
      <c r="G6" s="150">
        <f t="shared" si="1"/>
        <v>3.496917854022373E-2</v>
      </c>
    </row>
    <row r="7" spans="1:7" ht="52.8" x14ac:dyDescent="0.3">
      <c r="A7" s="151" t="s">
        <v>104</v>
      </c>
      <c r="B7" s="138" t="str">
        <f>VLOOKUP(A7,'PB DE PRODUCTOSM IMPO MES'!$A$17:$B$39,2,FALSE)</f>
        <v>Productos de plástico y sus manufacturas; caucho y sus manufacturas </v>
      </c>
      <c r="C7" s="145">
        <v>19238.852830000003</v>
      </c>
      <c r="D7" s="145">
        <v>30608.573580000004</v>
      </c>
      <c r="E7" s="70">
        <f t="shared" si="0"/>
        <v>2.8623620600397436E-2</v>
      </c>
      <c r="F7" s="70">
        <f t="shared" si="0"/>
        <v>5.7758146158469859E-2</v>
      </c>
      <c r="G7" s="150">
        <f t="shared" si="1"/>
        <v>2.9134525558072423E-2</v>
      </c>
    </row>
    <row r="8" spans="1:7" ht="26.4" x14ac:dyDescent="0.3">
      <c r="A8" s="151" t="s">
        <v>129</v>
      </c>
      <c r="B8" s="138" t="str">
        <f>VLOOKUP(A8,'PB DE PRODUCTOSM IMPO MES'!$A$17:$B$39,2,FALSE)</f>
        <v>Mercancías y productos diversos</v>
      </c>
      <c r="C8" s="146">
        <v>21640.838470000002</v>
      </c>
      <c r="D8" s="146">
        <v>20333.643976519994</v>
      </c>
      <c r="E8" s="70">
        <f t="shared" si="0"/>
        <v>3.2197301747318642E-2</v>
      </c>
      <c r="F8" s="70">
        <f t="shared" si="0"/>
        <v>3.836943193907999E-2</v>
      </c>
      <c r="G8" s="150">
        <f t="shared" si="1"/>
        <v>6.1721301917613478E-3</v>
      </c>
    </row>
    <row r="9" spans="1:7" ht="20.399999999999999" customHeight="1" x14ac:dyDescent="0.3">
      <c r="A9" s="138"/>
      <c r="B9" s="138"/>
      <c r="C9" s="96">
        <f>CUADRO!E9</f>
        <v>672132.05130775366</v>
      </c>
      <c r="D9" s="96">
        <f>CUADRO!F9</f>
        <v>529943.83677100507</v>
      </c>
      <c r="E9" s="145"/>
      <c r="F9" s="145"/>
    </row>
  </sheetData>
  <autoFilter ref="A3:F3">
    <sortState ref="A4:F9">
      <sortCondition descending="1" ref="F3"/>
    </sortState>
  </autoFilter>
  <mergeCells count="2">
    <mergeCell ref="A2:D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CUADRO</vt:lpstr>
      <vt:lpstr>MES</vt:lpstr>
      <vt:lpstr>AÑO CORRIDO</vt:lpstr>
      <vt:lpstr>DESTINOS</vt:lpstr>
      <vt:lpstr>ORIGENES</vt:lpstr>
      <vt:lpstr>SISTEMA AMPLIADO X</vt:lpstr>
      <vt:lpstr>SISTEMA AMPLIADO M</vt:lpstr>
      <vt:lpstr>PB DE PRODUCTOS EXPO MES</vt:lpstr>
      <vt:lpstr>PB DE PRODUCTOS EXPO PERIODO</vt:lpstr>
      <vt:lpstr>PB DE PRODUCTOSM IMPO MES</vt:lpstr>
      <vt:lpstr>PB DE PRODUCTOSM IMPO PERIODO</vt:lpstr>
      <vt:lpstr>BALANZA COMERCIAL HISTORICA</vt:lpstr>
      <vt:lpstr>MOVIMIENTOS RESPECTO AL PIB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Jairo Erazo Vega</dc:creator>
  <dc:description>Elaboró: John Erazo_x000d_
Revisó y aprobó: Sergio Calderón_x000d_
Fecha: 22dic21</dc:description>
  <cp:lastModifiedBy>John Jairo Erazo Vega</cp:lastModifiedBy>
  <dcterms:created xsi:type="dcterms:W3CDTF">2019-02-19T15:10:47Z</dcterms:created>
  <dcterms:modified xsi:type="dcterms:W3CDTF">2022-05-20T19:07:03Z</dcterms:modified>
</cp:coreProperties>
</file>